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mmreis-my.sharepoint.com/personal/filip_niculete_marcusmillichap_com/Documents/LAAA Team/Proposals/Filip Proposals/Westside 10+ Unit Survey/"/>
    </mc:Choice>
  </mc:AlternateContent>
  <xr:revisionPtr revIDLastSave="0" documentId="8_{73658A71-02CF-4567-B3AB-8ADFCA0B504F}" xr6:coauthVersionLast="47" xr6:coauthVersionMax="47" xr10:uidLastSave="{00000000-0000-0000-0000-000000000000}"/>
  <bookViews>
    <workbookView xWindow="-120" yWindow="-120" windowWidth="29040" windowHeight="15720" firstSheet="11" activeTab="15" xr2:uid="{00000000-000D-0000-FFFF-FFFF00000000}"/>
  </bookViews>
  <sheets>
    <sheet name="Master List" sheetId="1" r:id="rId1"/>
    <sheet name="Assumptions" sheetId="2" r:id="rId2"/>
    <sheet name="01 1129 Lincoln Blvd" sheetId="3" r:id="rId3"/>
    <sheet name="02 2001 Penmar Ave" sheetId="4" r:id="rId4"/>
    <sheet name="03 947-953 11th St" sheetId="5" r:id="rId5"/>
    <sheet name="04 1811 Parnell Ave" sheetId="6" r:id="rId6"/>
    <sheet name="05 2619 S Sepulveda Blvd" sheetId="7" r:id="rId7"/>
    <sheet name="06 2015-2021 Chariton St" sheetId="8" r:id="rId8"/>
    <sheet name="07 11825 National Blvd" sheetId="9" r:id="rId9"/>
    <sheet name="08 1811 S Bentley Ave" sheetId="10" r:id="rId10"/>
    <sheet name="09 3602 Keystone Ave" sheetId="11" r:id="rId11"/>
    <sheet name="10 2626 Cloverfield Blvd" sheetId="12" r:id="rId12"/>
    <sheet name="11 440 Raymond Ave" sheetId="13" r:id="rId13"/>
    <sheet name="12 1429 Havenhurst Dr" sheetId="14" r:id="rId14"/>
    <sheet name="13 1524 Granville Ave" sheetId="15" r:id="rId15"/>
    <sheet name="14 1041 S Corning St" sheetId="16" r:id="rId16"/>
    <sheet name="15 20 Brooks Ave" sheetId="17" r:id="rId17"/>
    <sheet name="16 3827 Tilden Ave" sheetId="18" r:id="rId18"/>
    <sheet name="17 900 N Orange Grove Ave" sheetId="19" r:id="rId19"/>
    <sheet name="18 11401 Washington Pl" sheetId="20" r:id="rId20"/>
    <sheet name="19 7526 Fountain Ave" sheetId="21" r:id="rId21"/>
    <sheet name="20 1942 Euclid St" sheetId="22" r:id="rId22"/>
    <sheet name="21 3575-3595 S Sepulveda Blvd" sheetId="23" r:id="rId23"/>
    <sheet name="22 222-228 Idaho Ave" sheetId="24" r:id="rId24"/>
    <sheet name="23 8468 Fountain Ave" sheetId="25" r:id="rId25"/>
    <sheet name="24 1217 9th St" sheetId="26" r:id="rId26"/>
    <sheet name="25 1256 S Westgate Ave" sheetId="27" r:id="rId27"/>
    <sheet name="26 3410 Club Dr" sheetId="28" r:id="rId28"/>
    <sheet name="27 1050 12th St" sheetId="29" r:id="rId29"/>
    <sheet name="28 1307 15th St" sheetId="30" r:id="rId30"/>
    <sheet name="29 3750 Midvale Ave" sheetId="31" r:id="rId31"/>
    <sheet name="30 823 5th St" sheetId="32" r:id="rId32"/>
    <sheet name="31 1269 Havenhurst Dr" sheetId="33" r:id="rId33"/>
    <sheet name="32 1235-1241 S Beverly Glen Blv" sheetId="34" r:id="rId34"/>
    <sheet name="33 120 Westminster Ave" sheetId="35" r:id="rId35"/>
    <sheet name="34 30 Dudley Ave" sheetId="36" r:id="rId36"/>
    <sheet name="35 1814 Federal Ave" sheetId="37" r:id="rId37"/>
    <sheet name="36 Beverly Hills double lot" sheetId="38" r:id="rId38"/>
    <sheet name="37 337 N Palm Dr" sheetId="39" r:id="rId39"/>
    <sheet name="38 7550 Fountain Ave" sheetId="40" r:id="rId40"/>
    <sheet name="39 943 Hancock Ave" sheetId="41" r:id="rId41"/>
  </sheets>
  <definedNames>
    <definedName name="_xlnm._FilterDatabase" localSheetId="0" hidden="1">'Master List'!$A$4:$AC$43</definedName>
    <definedName name="_xlnm.Print_Area" localSheetId="15">'14 1041 S Corning St'!$A$1:$N$79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54" i="7" l="1"/>
  <c r="B41" i="7"/>
  <c r="B34" i="7"/>
  <c r="D33" i="7"/>
  <c r="E33" i="7" s="1"/>
  <c r="D32" i="7"/>
  <c r="D34" i="7" s="1"/>
  <c r="C34" i="7" s="1"/>
  <c r="D31" i="7"/>
  <c r="E31" i="7" s="1"/>
  <c r="D30" i="7"/>
  <c r="E30" i="7" s="1"/>
  <c r="B53" i="24"/>
  <c r="B40" i="24"/>
  <c r="B33" i="24"/>
  <c r="E32" i="24"/>
  <c r="D32" i="24"/>
  <c r="D31" i="24"/>
  <c r="E31" i="24" s="1"/>
  <c r="D30" i="24"/>
  <c r="E30" i="24" s="1"/>
  <c r="B54" i="19"/>
  <c r="B41" i="19"/>
  <c r="B34" i="19"/>
  <c r="E33" i="19"/>
  <c r="D33" i="19"/>
  <c r="D32" i="19"/>
  <c r="E32" i="19" s="1"/>
  <c r="D31" i="19"/>
  <c r="E31" i="19" s="1"/>
  <c r="D30" i="19"/>
  <c r="E30" i="19" s="1"/>
  <c r="B54" i="16"/>
  <c r="B41" i="16"/>
  <c r="B34" i="16"/>
  <c r="D33" i="16"/>
  <c r="E33" i="16" s="1"/>
  <c r="D32" i="16"/>
  <c r="E32" i="16" s="1"/>
  <c r="D31" i="16"/>
  <c r="E31" i="16" s="1"/>
  <c r="D30" i="16"/>
  <c r="B52" i="15"/>
  <c r="B39" i="15"/>
  <c r="B32" i="15"/>
  <c r="D31" i="15"/>
  <c r="E31" i="15" s="1"/>
  <c r="D30" i="15"/>
  <c r="D32" i="15" s="1"/>
  <c r="C32" i="15" s="1"/>
  <c r="B52" i="14"/>
  <c r="B39" i="14"/>
  <c r="B32" i="14"/>
  <c r="D31" i="14"/>
  <c r="E31" i="14" s="1"/>
  <c r="D30" i="14"/>
  <c r="D32" i="14" s="1"/>
  <c r="C32" i="14" s="1"/>
  <c r="B52" i="12"/>
  <c r="B39" i="12"/>
  <c r="B32" i="12"/>
  <c r="D31" i="12"/>
  <c r="E31" i="12" s="1"/>
  <c r="D30" i="12"/>
  <c r="D32" i="12" s="1"/>
  <c r="C32" i="12" s="1"/>
  <c r="B54" i="10"/>
  <c r="B41" i="10"/>
  <c r="B34" i="10"/>
  <c r="D33" i="10"/>
  <c r="E33" i="10" s="1"/>
  <c r="D32" i="10"/>
  <c r="E32" i="10" s="1"/>
  <c r="D31" i="10"/>
  <c r="E31" i="10" s="1"/>
  <c r="D30" i="10"/>
  <c r="B55" i="4"/>
  <c r="B42" i="4"/>
  <c r="B35" i="4"/>
  <c r="D34" i="4"/>
  <c r="E34" i="4" s="1"/>
  <c r="D33" i="4"/>
  <c r="E33" i="4" s="1"/>
  <c r="D32" i="4"/>
  <c r="E32" i="4" s="1"/>
  <c r="E31" i="4"/>
  <c r="D31" i="4"/>
  <c r="D30" i="4"/>
  <c r="E30" i="4" s="1"/>
  <c r="B64" i="41"/>
  <c r="B61" i="41"/>
  <c r="B60" i="41"/>
  <c r="B59" i="41"/>
  <c r="B54" i="41"/>
  <c r="B52" i="41"/>
  <c r="E51" i="41"/>
  <c r="E50" i="41"/>
  <c r="C50" i="41"/>
  <c r="D50" i="41" s="1"/>
  <c r="E49" i="41"/>
  <c r="C49" i="41"/>
  <c r="D49" i="41" s="1"/>
  <c r="E48" i="41"/>
  <c r="C48" i="41"/>
  <c r="D48" i="41" s="1"/>
  <c r="E47" i="41"/>
  <c r="C47" i="41"/>
  <c r="D47" i="41" s="1"/>
  <c r="E46" i="41"/>
  <c r="C46" i="41"/>
  <c r="D46" i="41" s="1"/>
  <c r="E45" i="41"/>
  <c r="E44" i="41"/>
  <c r="C44" i="41"/>
  <c r="D44" i="41" s="1"/>
  <c r="E43" i="41"/>
  <c r="C43" i="41"/>
  <c r="B38" i="41"/>
  <c r="B37" i="41"/>
  <c r="B31" i="41"/>
  <c r="D30" i="41"/>
  <c r="D31" i="41" s="1"/>
  <c r="B24" i="41"/>
  <c r="L43" i="1" s="1"/>
  <c r="B23" i="41"/>
  <c r="K43" i="1" s="1"/>
  <c r="B65" i="40"/>
  <c r="B62" i="40"/>
  <c r="B61" i="40"/>
  <c r="B60" i="40"/>
  <c r="B55" i="40"/>
  <c r="Q42" i="1" s="1"/>
  <c r="B53" i="40"/>
  <c r="E52" i="40"/>
  <c r="E51" i="40"/>
  <c r="C51" i="40"/>
  <c r="D51" i="40" s="1"/>
  <c r="E50" i="40"/>
  <c r="C50" i="40"/>
  <c r="D50" i="40" s="1"/>
  <c r="E49" i="40"/>
  <c r="C49" i="40"/>
  <c r="D49" i="40" s="1"/>
  <c r="E48" i="40"/>
  <c r="C48" i="40"/>
  <c r="D48" i="40" s="1"/>
  <c r="E47" i="40"/>
  <c r="C47" i="40"/>
  <c r="D47" i="40" s="1"/>
  <c r="E46" i="40"/>
  <c r="E45" i="40"/>
  <c r="C45" i="40"/>
  <c r="D45" i="40" s="1"/>
  <c r="E44" i="40"/>
  <c r="C44" i="40"/>
  <c r="D44" i="40" s="1"/>
  <c r="B39" i="40"/>
  <c r="B38" i="40"/>
  <c r="B32" i="40"/>
  <c r="D31" i="40"/>
  <c r="D30" i="40"/>
  <c r="E30" i="40" s="1"/>
  <c r="B24" i="40"/>
  <c r="L42" i="1" s="1"/>
  <c r="B23" i="40"/>
  <c r="K42" i="1" s="1"/>
  <c r="B65" i="39"/>
  <c r="B62" i="39"/>
  <c r="B61" i="39"/>
  <c r="B60" i="39"/>
  <c r="B55" i="39"/>
  <c r="Q41" i="1" s="1"/>
  <c r="B53" i="39"/>
  <c r="E52" i="39"/>
  <c r="E51" i="39"/>
  <c r="C51" i="39"/>
  <c r="D51" i="39" s="1"/>
  <c r="E50" i="39"/>
  <c r="C50" i="39"/>
  <c r="D50" i="39" s="1"/>
  <c r="E49" i="39"/>
  <c r="C49" i="39"/>
  <c r="D49" i="39" s="1"/>
  <c r="E48" i="39"/>
  <c r="C48" i="39"/>
  <c r="D48" i="39" s="1"/>
  <c r="E47" i="39"/>
  <c r="C47" i="39"/>
  <c r="D47" i="39" s="1"/>
  <c r="E46" i="39"/>
  <c r="E45" i="39"/>
  <c r="C45" i="39"/>
  <c r="D45" i="39" s="1"/>
  <c r="E44" i="39"/>
  <c r="C44" i="39"/>
  <c r="D44" i="39" s="1"/>
  <c r="B39" i="39"/>
  <c r="B38" i="39"/>
  <c r="B32" i="39"/>
  <c r="D31" i="39"/>
  <c r="E31" i="39" s="1"/>
  <c r="D30" i="39"/>
  <c r="E30" i="39" s="1"/>
  <c r="B24" i="39"/>
  <c r="B23" i="39"/>
  <c r="B66" i="38"/>
  <c r="B63" i="38"/>
  <c r="B62" i="38"/>
  <c r="B61" i="38"/>
  <c r="B56" i="38"/>
  <c r="Q40" i="1" s="1"/>
  <c r="B54" i="38"/>
  <c r="O40" i="1" s="1"/>
  <c r="E53" i="38"/>
  <c r="E52" i="38"/>
  <c r="C52" i="38"/>
  <c r="D52" i="38" s="1"/>
  <c r="E51" i="38"/>
  <c r="C51" i="38"/>
  <c r="D51" i="38" s="1"/>
  <c r="E50" i="38"/>
  <c r="C50" i="38"/>
  <c r="D50" i="38" s="1"/>
  <c r="E49" i="38"/>
  <c r="C49" i="38"/>
  <c r="D49" i="38" s="1"/>
  <c r="E48" i="38"/>
  <c r="C48" i="38"/>
  <c r="D48" i="38" s="1"/>
  <c r="E47" i="38"/>
  <c r="E46" i="38"/>
  <c r="C46" i="38"/>
  <c r="D46" i="38" s="1"/>
  <c r="E45" i="38"/>
  <c r="C45" i="38"/>
  <c r="D45" i="38" s="1"/>
  <c r="B40" i="38"/>
  <c r="B39" i="38"/>
  <c r="B32" i="38"/>
  <c r="D31" i="38"/>
  <c r="E31" i="38" s="1"/>
  <c r="D30" i="38"/>
  <c r="E30" i="38" s="1"/>
  <c r="B24" i="38"/>
  <c r="B23" i="38"/>
  <c r="K40" i="1" s="1"/>
  <c r="B64" i="37"/>
  <c r="B61" i="37"/>
  <c r="B60" i="37"/>
  <c r="B59" i="37"/>
  <c r="B54" i="37"/>
  <c r="Q39" i="1" s="1"/>
  <c r="B52" i="37"/>
  <c r="O39" i="1" s="1"/>
  <c r="E51" i="37"/>
  <c r="E50" i="37"/>
  <c r="C50" i="37"/>
  <c r="D50" i="37" s="1"/>
  <c r="E49" i="37"/>
  <c r="C49" i="37"/>
  <c r="D49" i="37" s="1"/>
  <c r="E48" i="37"/>
  <c r="C48" i="37"/>
  <c r="D48" i="37" s="1"/>
  <c r="E47" i="37"/>
  <c r="C47" i="37"/>
  <c r="D47" i="37" s="1"/>
  <c r="E46" i="37"/>
  <c r="C46" i="37"/>
  <c r="D46" i="37" s="1"/>
  <c r="E45" i="37"/>
  <c r="E44" i="37"/>
  <c r="C44" i="37"/>
  <c r="E43" i="37"/>
  <c r="C43" i="37"/>
  <c r="D43" i="37" s="1"/>
  <c r="B38" i="37"/>
  <c r="B37" i="37"/>
  <c r="B31" i="37"/>
  <c r="D30" i="37"/>
  <c r="E30" i="37" s="1"/>
  <c r="E31" i="37" s="1"/>
  <c r="C35" i="37" s="1"/>
  <c r="C60" i="37" s="1"/>
  <c r="U39" i="1" s="1"/>
  <c r="B24" i="37"/>
  <c r="B23" i="37"/>
  <c r="B64" i="36"/>
  <c r="B61" i="36"/>
  <c r="B60" i="36"/>
  <c r="B59" i="36"/>
  <c r="B54" i="36"/>
  <c r="Q38" i="1" s="1"/>
  <c r="B52" i="36"/>
  <c r="O38" i="1" s="1"/>
  <c r="E51" i="36"/>
  <c r="E50" i="36"/>
  <c r="C50" i="36"/>
  <c r="D50" i="36" s="1"/>
  <c r="E49" i="36"/>
  <c r="C49" i="36"/>
  <c r="D49" i="36" s="1"/>
  <c r="E48" i="36"/>
  <c r="C48" i="36"/>
  <c r="D48" i="36" s="1"/>
  <c r="E47" i="36"/>
  <c r="C47" i="36"/>
  <c r="D47" i="36" s="1"/>
  <c r="E46" i="36"/>
  <c r="C46" i="36"/>
  <c r="D46" i="36" s="1"/>
  <c r="E45" i="36"/>
  <c r="E44" i="36"/>
  <c r="C44" i="36"/>
  <c r="D44" i="36" s="1"/>
  <c r="E43" i="36"/>
  <c r="C43" i="36"/>
  <c r="D43" i="36" s="1"/>
  <c r="B38" i="36"/>
  <c r="B37" i="36"/>
  <c r="B39" i="36" s="1"/>
  <c r="B53" i="36" s="1"/>
  <c r="B31" i="36"/>
  <c r="D30" i="36"/>
  <c r="B24" i="36"/>
  <c r="L38" i="1" s="1"/>
  <c r="B23" i="36"/>
  <c r="K38" i="1" s="1"/>
  <c r="B65" i="35"/>
  <c r="B62" i="35"/>
  <c r="B61" i="35"/>
  <c r="B60" i="35"/>
  <c r="B55" i="35"/>
  <c r="Q37" i="1" s="1"/>
  <c r="B53" i="35"/>
  <c r="O37" i="1" s="1"/>
  <c r="E52" i="35"/>
  <c r="E51" i="35"/>
  <c r="C51" i="35"/>
  <c r="D51" i="35" s="1"/>
  <c r="E50" i="35"/>
  <c r="C50" i="35"/>
  <c r="D50" i="35" s="1"/>
  <c r="E49" i="35"/>
  <c r="C49" i="35"/>
  <c r="D49" i="35" s="1"/>
  <c r="E48" i="35"/>
  <c r="C48" i="35"/>
  <c r="D48" i="35" s="1"/>
  <c r="E47" i="35"/>
  <c r="C47" i="35"/>
  <c r="D47" i="35" s="1"/>
  <c r="E46" i="35"/>
  <c r="E45" i="35"/>
  <c r="C45" i="35"/>
  <c r="D45" i="35" s="1"/>
  <c r="E44" i="35"/>
  <c r="C44" i="35"/>
  <c r="D44" i="35" s="1"/>
  <c r="B39" i="35"/>
  <c r="B38" i="35"/>
  <c r="B32" i="35"/>
  <c r="D31" i="35"/>
  <c r="E31" i="35" s="1"/>
  <c r="D30" i="35"/>
  <c r="E30" i="35" s="1"/>
  <c r="B24" i="35"/>
  <c r="L37" i="1" s="1"/>
  <c r="B23" i="35"/>
  <c r="K37" i="1" s="1"/>
  <c r="B66" i="34"/>
  <c r="B62" i="34"/>
  <c r="B60" i="34"/>
  <c r="B56" i="34"/>
  <c r="Q36" i="1" s="1"/>
  <c r="B54" i="34"/>
  <c r="O36" i="1" s="1"/>
  <c r="E53" i="34"/>
  <c r="E52" i="34"/>
  <c r="C52" i="34"/>
  <c r="D52" i="34" s="1"/>
  <c r="E51" i="34"/>
  <c r="C51" i="34"/>
  <c r="D51" i="34" s="1"/>
  <c r="E50" i="34"/>
  <c r="C50" i="34"/>
  <c r="D50" i="34" s="1"/>
  <c r="E49" i="34"/>
  <c r="C49" i="34"/>
  <c r="D49" i="34" s="1"/>
  <c r="E48" i="34"/>
  <c r="C48" i="34"/>
  <c r="D48" i="34" s="1"/>
  <c r="E47" i="34"/>
  <c r="E46" i="34"/>
  <c r="C46" i="34"/>
  <c r="D46" i="34" s="1"/>
  <c r="E45" i="34"/>
  <c r="C45" i="34"/>
  <c r="D45" i="34" s="1"/>
  <c r="B40" i="34"/>
  <c r="B39" i="34"/>
  <c r="B41" i="34" s="1"/>
  <c r="B55" i="34" s="1"/>
  <c r="B33" i="34"/>
  <c r="D32" i="34"/>
  <c r="E32" i="34" s="1"/>
  <c r="D31" i="34"/>
  <c r="E31" i="34" s="1"/>
  <c r="D30" i="34"/>
  <c r="E30" i="34" s="1"/>
  <c r="B24" i="34"/>
  <c r="L36" i="1" s="1"/>
  <c r="B23" i="34"/>
  <c r="K36" i="1" s="1"/>
  <c r="B65" i="33"/>
  <c r="B61" i="33"/>
  <c r="E51" i="33"/>
  <c r="C51" i="33"/>
  <c r="D51" i="33" s="1"/>
  <c r="E50" i="33"/>
  <c r="C50" i="33"/>
  <c r="D50" i="33" s="1"/>
  <c r="E49" i="33"/>
  <c r="C49" i="33"/>
  <c r="D49" i="33" s="1"/>
  <c r="E48" i="33"/>
  <c r="C48" i="33"/>
  <c r="D48" i="33" s="1"/>
  <c r="E47" i="33"/>
  <c r="C47" i="33"/>
  <c r="D47" i="33" s="1"/>
  <c r="E46" i="33"/>
  <c r="E45" i="33"/>
  <c r="C45" i="33"/>
  <c r="D45" i="33" s="1"/>
  <c r="E44" i="33"/>
  <c r="C44" i="33"/>
  <c r="D44" i="33" s="1"/>
  <c r="B39" i="33"/>
  <c r="B38" i="33"/>
  <c r="B32" i="33"/>
  <c r="D31" i="33"/>
  <c r="E31" i="33" s="1"/>
  <c r="D30" i="33"/>
  <c r="E30" i="33" s="1"/>
  <c r="E32" i="33" s="1"/>
  <c r="C36" i="33" s="1"/>
  <c r="C39" i="33" s="1"/>
  <c r="B24" i="33"/>
  <c r="B23" i="33"/>
  <c r="K35" i="1" s="1"/>
  <c r="B67" i="32"/>
  <c r="B63" i="32"/>
  <c r="B54" i="32"/>
  <c r="C53" i="32"/>
  <c r="D53" i="32" s="1"/>
  <c r="E53" i="32" s="1"/>
  <c r="E52" i="32"/>
  <c r="C52" i="32"/>
  <c r="D52" i="32" s="1"/>
  <c r="E51" i="32"/>
  <c r="C51" i="32"/>
  <c r="D51" i="32" s="1"/>
  <c r="E50" i="32"/>
  <c r="C50" i="32"/>
  <c r="D50" i="32" s="1"/>
  <c r="E49" i="32"/>
  <c r="C49" i="32"/>
  <c r="D49" i="32" s="1"/>
  <c r="E48" i="32"/>
  <c r="C48" i="32"/>
  <c r="D48" i="32" s="1"/>
  <c r="E47" i="32"/>
  <c r="E46" i="32"/>
  <c r="C46" i="32"/>
  <c r="D46" i="32" s="1"/>
  <c r="C45" i="32"/>
  <c r="B40" i="32"/>
  <c r="B39" i="32"/>
  <c r="B33" i="32"/>
  <c r="D32" i="32"/>
  <c r="E32" i="32" s="1"/>
  <c r="D31" i="32"/>
  <c r="E31" i="32" s="1"/>
  <c r="D30" i="32"/>
  <c r="B24" i="32"/>
  <c r="L34" i="1" s="1"/>
  <c r="B23" i="32"/>
  <c r="B65" i="31"/>
  <c r="B61" i="31"/>
  <c r="E51" i="31"/>
  <c r="C51" i="31"/>
  <c r="D51" i="31" s="1"/>
  <c r="E50" i="31"/>
  <c r="C50" i="31"/>
  <c r="D50" i="31" s="1"/>
  <c r="E49" i="31"/>
  <c r="C49" i="31"/>
  <c r="D49" i="31" s="1"/>
  <c r="E48" i="31"/>
  <c r="C48" i="31"/>
  <c r="D48" i="31" s="1"/>
  <c r="E47" i="31"/>
  <c r="C47" i="31"/>
  <c r="D47" i="31" s="1"/>
  <c r="E46" i="31"/>
  <c r="E45" i="31"/>
  <c r="C45" i="31"/>
  <c r="D45" i="31" s="1"/>
  <c r="E44" i="31"/>
  <c r="C44" i="31"/>
  <c r="D44" i="31" s="1"/>
  <c r="B39" i="31"/>
  <c r="B38" i="31"/>
  <c r="B32" i="31"/>
  <c r="D31" i="31"/>
  <c r="E31" i="31" s="1"/>
  <c r="D30" i="31"/>
  <c r="B24" i="31"/>
  <c r="L33" i="1" s="1"/>
  <c r="B23" i="31"/>
  <c r="K33" i="1" s="1"/>
  <c r="B66" i="30"/>
  <c r="B62" i="30"/>
  <c r="E52" i="30"/>
  <c r="C52" i="30"/>
  <c r="D52" i="30" s="1"/>
  <c r="E51" i="30"/>
  <c r="C51" i="30"/>
  <c r="D51" i="30" s="1"/>
  <c r="E50" i="30"/>
  <c r="C50" i="30"/>
  <c r="D50" i="30" s="1"/>
  <c r="E49" i="30"/>
  <c r="C49" i="30"/>
  <c r="D49" i="30" s="1"/>
  <c r="E48" i="30"/>
  <c r="C48" i="30"/>
  <c r="D48" i="30" s="1"/>
  <c r="E47" i="30"/>
  <c r="E46" i="30"/>
  <c r="C46" i="30"/>
  <c r="D46" i="30" s="1"/>
  <c r="E45" i="30"/>
  <c r="C45" i="30"/>
  <c r="B40" i="30"/>
  <c r="B39" i="30"/>
  <c r="B33" i="30"/>
  <c r="D32" i="30"/>
  <c r="E32" i="30" s="1"/>
  <c r="D31" i="30"/>
  <c r="E31" i="30" s="1"/>
  <c r="D30" i="30"/>
  <c r="E30" i="30" s="1"/>
  <c r="B24" i="30"/>
  <c r="L32" i="1" s="1"/>
  <c r="B23" i="30"/>
  <c r="K32" i="1" s="1"/>
  <c r="B65" i="29"/>
  <c r="B61" i="29"/>
  <c r="E51" i="29"/>
  <c r="C51" i="29"/>
  <c r="D51" i="29" s="1"/>
  <c r="E50" i="29"/>
  <c r="C50" i="29"/>
  <c r="D50" i="29" s="1"/>
  <c r="E49" i="29"/>
  <c r="D49" i="29"/>
  <c r="C49" i="29"/>
  <c r="E48" i="29"/>
  <c r="C48" i="29"/>
  <c r="D48" i="29" s="1"/>
  <c r="E47" i="29"/>
  <c r="C47" i="29"/>
  <c r="D47" i="29" s="1"/>
  <c r="E46" i="29"/>
  <c r="E45" i="29"/>
  <c r="C45" i="29"/>
  <c r="D45" i="29" s="1"/>
  <c r="E44" i="29"/>
  <c r="C44" i="29"/>
  <c r="B39" i="29"/>
  <c r="B38" i="29"/>
  <c r="B32" i="29"/>
  <c r="D31" i="29"/>
  <c r="E31" i="29" s="1"/>
  <c r="D30" i="29"/>
  <c r="B24" i="29"/>
  <c r="B23" i="29"/>
  <c r="K31" i="1" s="1"/>
  <c r="B66" i="28"/>
  <c r="B62" i="28"/>
  <c r="E52" i="28"/>
  <c r="C52" i="28"/>
  <c r="D52" i="28" s="1"/>
  <c r="E51" i="28"/>
  <c r="C51" i="28"/>
  <c r="D51" i="28" s="1"/>
  <c r="E50" i="28"/>
  <c r="C50" i="28"/>
  <c r="D50" i="28" s="1"/>
  <c r="E49" i="28"/>
  <c r="C49" i="28"/>
  <c r="D49" i="28" s="1"/>
  <c r="E48" i="28"/>
  <c r="C48" i="28"/>
  <c r="D48" i="28" s="1"/>
  <c r="E47" i="28"/>
  <c r="E46" i="28"/>
  <c r="C46" i="28"/>
  <c r="D46" i="28" s="1"/>
  <c r="E45" i="28"/>
  <c r="C45" i="28"/>
  <c r="B40" i="28"/>
  <c r="B39" i="28"/>
  <c r="B33" i="28"/>
  <c r="D32" i="28"/>
  <c r="E32" i="28" s="1"/>
  <c r="D31" i="28"/>
  <c r="E31" i="28" s="1"/>
  <c r="D30" i="28"/>
  <c r="E30" i="28" s="1"/>
  <c r="B24" i="28"/>
  <c r="L30" i="1" s="1"/>
  <c r="B23" i="28"/>
  <c r="B66" i="27"/>
  <c r="B62" i="27"/>
  <c r="E52" i="27"/>
  <c r="C52" i="27"/>
  <c r="D52" i="27" s="1"/>
  <c r="E51" i="27"/>
  <c r="C51" i="27"/>
  <c r="D51" i="27" s="1"/>
  <c r="E50" i="27"/>
  <c r="C50" i="27"/>
  <c r="D50" i="27" s="1"/>
  <c r="E49" i="27"/>
  <c r="C49" i="27"/>
  <c r="D49" i="27" s="1"/>
  <c r="E48" i="27"/>
  <c r="C48" i="27"/>
  <c r="D48" i="27" s="1"/>
  <c r="E47" i="27"/>
  <c r="E46" i="27"/>
  <c r="C46" i="27"/>
  <c r="D46" i="27" s="1"/>
  <c r="E45" i="27"/>
  <c r="C45" i="27"/>
  <c r="D45" i="27" s="1"/>
  <c r="B40" i="27"/>
  <c r="B39" i="27"/>
  <c r="B33" i="27"/>
  <c r="D32" i="27"/>
  <c r="D31" i="27"/>
  <c r="E31" i="27" s="1"/>
  <c r="D30" i="27"/>
  <c r="E30" i="27" s="1"/>
  <c r="B24" i="27"/>
  <c r="B23" i="27"/>
  <c r="K29" i="1" s="1"/>
  <c r="B64" i="26"/>
  <c r="B60" i="26"/>
  <c r="B51" i="26"/>
  <c r="B52" i="26" s="1"/>
  <c r="O28" i="1" s="1"/>
  <c r="C50" i="26"/>
  <c r="D50" i="26" s="1"/>
  <c r="E50" i="26" s="1"/>
  <c r="E49" i="26"/>
  <c r="C49" i="26"/>
  <c r="D49" i="26" s="1"/>
  <c r="C48" i="26"/>
  <c r="D48" i="26" s="1"/>
  <c r="E48" i="26" s="1"/>
  <c r="C47" i="26"/>
  <c r="D47" i="26" s="1"/>
  <c r="E47" i="26" s="1"/>
  <c r="C46" i="26"/>
  <c r="D46" i="26" s="1"/>
  <c r="E46" i="26" s="1"/>
  <c r="C44" i="26"/>
  <c r="D44" i="26" s="1"/>
  <c r="E44" i="26" s="1"/>
  <c r="C43" i="26"/>
  <c r="B38" i="26"/>
  <c r="B37" i="26"/>
  <c r="B31" i="26"/>
  <c r="D30" i="26"/>
  <c r="D31" i="26" s="1"/>
  <c r="B24" i="26"/>
  <c r="L28" i="1" s="1"/>
  <c r="B23" i="26"/>
  <c r="K28" i="1" s="1"/>
  <c r="B67" i="25"/>
  <c r="B63" i="25"/>
  <c r="E53" i="25"/>
  <c r="C53" i="25"/>
  <c r="D53" i="25" s="1"/>
  <c r="E52" i="25"/>
  <c r="C52" i="25"/>
  <c r="D52" i="25" s="1"/>
  <c r="E51" i="25"/>
  <c r="C51" i="25"/>
  <c r="D51" i="25" s="1"/>
  <c r="E50" i="25"/>
  <c r="C50" i="25"/>
  <c r="D50" i="25" s="1"/>
  <c r="E49" i="25"/>
  <c r="C49" i="25"/>
  <c r="D49" i="25" s="1"/>
  <c r="E48" i="25"/>
  <c r="E47" i="25"/>
  <c r="C47" i="25"/>
  <c r="D47" i="25" s="1"/>
  <c r="E46" i="25"/>
  <c r="C46" i="25"/>
  <c r="B41" i="25"/>
  <c r="B40" i="25"/>
  <c r="B34" i="25"/>
  <c r="D33" i="25"/>
  <c r="E33" i="25" s="1"/>
  <c r="D32" i="25"/>
  <c r="E32" i="25" s="1"/>
  <c r="D31" i="25"/>
  <c r="E31" i="25" s="1"/>
  <c r="D30" i="25"/>
  <c r="B24" i="25"/>
  <c r="B23" i="25"/>
  <c r="K27" i="1" s="1"/>
  <c r="B66" i="24"/>
  <c r="B62" i="24"/>
  <c r="E52" i="24"/>
  <c r="C52" i="24"/>
  <c r="D52" i="24" s="1"/>
  <c r="C51" i="24"/>
  <c r="D51" i="24" s="1"/>
  <c r="E51" i="24" s="1"/>
  <c r="C50" i="24"/>
  <c r="D50" i="24" s="1"/>
  <c r="E50" i="24" s="1"/>
  <c r="C49" i="24"/>
  <c r="D49" i="24" s="1"/>
  <c r="E49" i="24" s="1"/>
  <c r="C48" i="24"/>
  <c r="D48" i="24" s="1"/>
  <c r="E48" i="24" s="1"/>
  <c r="C46" i="24"/>
  <c r="D46" i="24" s="1"/>
  <c r="E46" i="24" s="1"/>
  <c r="C45" i="24"/>
  <c r="B39" i="24"/>
  <c r="B24" i="24"/>
  <c r="L26" i="1" s="1"/>
  <c r="B23" i="24"/>
  <c r="K26" i="1" s="1"/>
  <c r="B67" i="23"/>
  <c r="B63" i="23"/>
  <c r="E53" i="23"/>
  <c r="C53" i="23"/>
  <c r="D53" i="23" s="1"/>
  <c r="E52" i="23"/>
  <c r="C52" i="23"/>
  <c r="D52" i="23" s="1"/>
  <c r="E51" i="23"/>
  <c r="C51" i="23"/>
  <c r="D51" i="23" s="1"/>
  <c r="E50" i="23"/>
  <c r="C50" i="23"/>
  <c r="D50" i="23" s="1"/>
  <c r="E49" i="23"/>
  <c r="C49" i="23"/>
  <c r="D49" i="23" s="1"/>
  <c r="E48" i="23"/>
  <c r="E47" i="23"/>
  <c r="C47" i="23"/>
  <c r="D47" i="23" s="1"/>
  <c r="E46" i="23"/>
  <c r="C46" i="23"/>
  <c r="B41" i="23"/>
  <c r="B40" i="23"/>
  <c r="B34" i="23"/>
  <c r="D33" i="23"/>
  <c r="D32" i="23"/>
  <c r="E32" i="23" s="1"/>
  <c r="D31" i="23"/>
  <c r="E31" i="23" s="1"/>
  <c r="D30" i="23"/>
  <c r="E30" i="23" s="1"/>
  <c r="B24" i="23"/>
  <c r="L25" i="1" s="1"/>
  <c r="B23" i="23"/>
  <c r="K25" i="1" s="1"/>
  <c r="B67" i="22"/>
  <c r="B63" i="22"/>
  <c r="E53" i="22"/>
  <c r="C53" i="22"/>
  <c r="D53" i="22" s="1"/>
  <c r="E52" i="22"/>
  <c r="D52" i="22"/>
  <c r="C52" i="22"/>
  <c r="E51" i="22"/>
  <c r="C51" i="22"/>
  <c r="D51" i="22" s="1"/>
  <c r="E50" i="22"/>
  <c r="C50" i="22"/>
  <c r="D50" i="22" s="1"/>
  <c r="E49" i="22"/>
  <c r="C49" i="22"/>
  <c r="D49" i="22" s="1"/>
  <c r="E48" i="22"/>
  <c r="E47" i="22"/>
  <c r="C47" i="22"/>
  <c r="D47" i="22" s="1"/>
  <c r="E46" i="22"/>
  <c r="C46" i="22"/>
  <c r="B41" i="22"/>
  <c r="B40" i="22"/>
  <c r="B34" i="22"/>
  <c r="D33" i="22"/>
  <c r="E33" i="22" s="1"/>
  <c r="D32" i="22"/>
  <c r="E32" i="22" s="1"/>
  <c r="D31" i="22"/>
  <c r="E31" i="22" s="1"/>
  <c r="D30" i="22"/>
  <c r="B24" i="22"/>
  <c r="L24" i="1" s="1"/>
  <c r="B23" i="22"/>
  <c r="B66" i="21"/>
  <c r="B62" i="21"/>
  <c r="E52" i="21"/>
  <c r="C52" i="21"/>
  <c r="D52" i="21" s="1"/>
  <c r="E51" i="21"/>
  <c r="C51" i="21"/>
  <c r="D51" i="21" s="1"/>
  <c r="E50" i="21"/>
  <c r="C50" i="21"/>
  <c r="D50" i="21" s="1"/>
  <c r="E49" i="21"/>
  <c r="C49" i="21"/>
  <c r="D49" i="21" s="1"/>
  <c r="E48" i="21"/>
  <c r="C48" i="21"/>
  <c r="D48" i="21" s="1"/>
  <c r="E47" i="21"/>
  <c r="E46" i="21"/>
  <c r="C46" i="21"/>
  <c r="D46" i="21" s="1"/>
  <c r="E45" i="21"/>
  <c r="C45" i="21"/>
  <c r="B40" i="21"/>
  <c r="B39" i="21"/>
  <c r="B32" i="21"/>
  <c r="D31" i="21"/>
  <c r="E31" i="21" s="1"/>
  <c r="D30" i="21"/>
  <c r="B24" i="21"/>
  <c r="L23" i="1" s="1"/>
  <c r="B23" i="21"/>
  <c r="K23" i="1" s="1"/>
  <c r="B65" i="20"/>
  <c r="B61" i="20"/>
  <c r="E51" i="20"/>
  <c r="C51" i="20"/>
  <c r="D51" i="20" s="1"/>
  <c r="E50" i="20"/>
  <c r="C50" i="20"/>
  <c r="D50" i="20" s="1"/>
  <c r="E49" i="20"/>
  <c r="C49" i="20"/>
  <c r="D49" i="20" s="1"/>
  <c r="E48" i="20"/>
  <c r="C48" i="20"/>
  <c r="D48" i="20" s="1"/>
  <c r="E47" i="20"/>
  <c r="C47" i="20"/>
  <c r="D47" i="20" s="1"/>
  <c r="E46" i="20"/>
  <c r="E45" i="20"/>
  <c r="C45" i="20"/>
  <c r="D45" i="20" s="1"/>
  <c r="E44" i="20"/>
  <c r="C44" i="20"/>
  <c r="D44" i="20" s="1"/>
  <c r="B39" i="20"/>
  <c r="B38" i="20"/>
  <c r="B32" i="20"/>
  <c r="D31" i="20"/>
  <c r="E31" i="20" s="1"/>
  <c r="D30" i="20"/>
  <c r="B24" i="20"/>
  <c r="L22" i="1" s="1"/>
  <c r="B23" i="20"/>
  <c r="K22" i="1" s="1"/>
  <c r="B67" i="19"/>
  <c r="B63" i="19"/>
  <c r="E53" i="19"/>
  <c r="C53" i="19"/>
  <c r="D53" i="19" s="1"/>
  <c r="C52" i="19"/>
  <c r="D52" i="19" s="1"/>
  <c r="E52" i="19" s="1"/>
  <c r="C51" i="19"/>
  <c r="D51" i="19" s="1"/>
  <c r="E51" i="19" s="1"/>
  <c r="C50" i="19"/>
  <c r="D50" i="19" s="1"/>
  <c r="E50" i="19" s="1"/>
  <c r="C49" i="19"/>
  <c r="D49" i="19" s="1"/>
  <c r="E49" i="19" s="1"/>
  <c r="C47" i="19"/>
  <c r="D47" i="19" s="1"/>
  <c r="E47" i="19" s="1"/>
  <c r="C46" i="19"/>
  <c r="D46" i="19" s="1"/>
  <c r="E46" i="19" s="1"/>
  <c r="B40" i="19"/>
  <c r="B42" i="19" s="1"/>
  <c r="B61" i="19" s="1"/>
  <c r="B24" i="19"/>
  <c r="B23" i="19"/>
  <c r="K21" i="1" s="1"/>
  <c r="B66" i="18"/>
  <c r="B62" i="18"/>
  <c r="B60" i="18"/>
  <c r="B56" i="18"/>
  <c r="Q20" i="1" s="1"/>
  <c r="B54" i="18"/>
  <c r="O20" i="1" s="1"/>
  <c r="E53" i="18"/>
  <c r="E52" i="18"/>
  <c r="C52" i="18"/>
  <c r="D52" i="18" s="1"/>
  <c r="E51" i="18"/>
  <c r="C51" i="18"/>
  <c r="D51" i="18" s="1"/>
  <c r="E50" i="18"/>
  <c r="C50" i="18"/>
  <c r="D50" i="18" s="1"/>
  <c r="E49" i="18"/>
  <c r="C49" i="18"/>
  <c r="D49" i="18" s="1"/>
  <c r="E48" i="18"/>
  <c r="C48" i="18"/>
  <c r="D48" i="18" s="1"/>
  <c r="E47" i="18"/>
  <c r="E46" i="18"/>
  <c r="C46" i="18"/>
  <c r="E45" i="18"/>
  <c r="C45" i="18"/>
  <c r="D45" i="18" s="1"/>
  <c r="B40" i="18"/>
  <c r="B39" i="18"/>
  <c r="B33" i="18"/>
  <c r="D32" i="18"/>
  <c r="E32" i="18" s="1"/>
  <c r="D31" i="18"/>
  <c r="E31" i="18" s="1"/>
  <c r="D30" i="18"/>
  <c r="E30" i="18" s="1"/>
  <c r="B24" i="18"/>
  <c r="L20" i="1" s="1"/>
  <c r="B23" i="18"/>
  <c r="K20" i="1" s="1"/>
  <c r="B66" i="17"/>
  <c r="B62" i="17"/>
  <c r="E52" i="17"/>
  <c r="C52" i="17"/>
  <c r="D52" i="17" s="1"/>
  <c r="E51" i="17"/>
  <c r="C51" i="17"/>
  <c r="D51" i="17" s="1"/>
  <c r="E50" i="17"/>
  <c r="C50" i="17"/>
  <c r="D50" i="17" s="1"/>
  <c r="E49" i="17"/>
  <c r="C49" i="17"/>
  <c r="D49" i="17" s="1"/>
  <c r="E48" i="17"/>
  <c r="C48" i="17"/>
  <c r="D48" i="17" s="1"/>
  <c r="E47" i="17"/>
  <c r="E46" i="17"/>
  <c r="C46" i="17"/>
  <c r="D46" i="17" s="1"/>
  <c r="E45" i="17"/>
  <c r="C45" i="17"/>
  <c r="D45" i="17" s="1"/>
  <c r="B40" i="17"/>
  <c r="B39" i="17"/>
  <c r="B33" i="17"/>
  <c r="D32" i="17"/>
  <c r="E32" i="17" s="1"/>
  <c r="D31" i="17"/>
  <c r="E31" i="17" s="1"/>
  <c r="D30" i="17"/>
  <c r="E30" i="17" s="1"/>
  <c r="B24" i="17"/>
  <c r="L19" i="1" s="1"/>
  <c r="B23" i="17"/>
  <c r="K19" i="1" s="1"/>
  <c r="B67" i="16"/>
  <c r="B63" i="16"/>
  <c r="C53" i="16"/>
  <c r="D53" i="16" s="1"/>
  <c r="E53" i="16" s="1"/>
  <c r="C52" i="16"/>
  <c r="D52" i="16" s="1"/>
  <c r="E52" i="16" s="1"/>
  <c r="C51" i="16"/>
  <c r="D51" i="16" s="1"/>
  <c r="E51" i="16" s="1"/>
  <c r="C50" i="16"/>
  <c r="D50" i="16" s="1"/>
  <c r="E50" i="16" s="1"/>
  <c r="C49" i="16"/>
  <c r="D49" i="16" s="1"/>
  <c r="E49" i="16" s="1"/>
  <c r="C47" i="16"/>
  <c r="D47" i="16" s="1"/>
  <c r="E47" i="16" s="1"/>
  <c r="C46" i="16"/>
  <c r="D46" i="16" s="1"/>
  <c r="E46" i="16" s="1"/>
  <c r="B40" i="16"/>
  <c r="B24" i="16"/>
  <c r="L18" i="1" s="1"/>
  <c r="B23" i="16"/>
  <c r="K18" i="1" s="1"/>
  <c r="B65" i="15"/>
  <c r="B61" i="15"/>
  <c r="C51" i="15"/>
  <c r="D51" i="15" s="1"/>
  <c r="E51" i="15" s="1"/>
  <c r="C50" i="15"/>
  <c r="D50" i="15" s="1"/>
  <c r="E50" i="15" s="1"/>
  <c r="C49" i="15"/>
  <c r="D49" i="15" s="1"/>
  <c r="E49" i="15" s="1"/>
  <c r="C48" i="15"/>
  <c r="D48" i="15" s="1"/>
  <c r="E48" i="15" s="1"/>
  <c r="C47" i="15"/>
  <c r="D47" i="15" s="1"/>
  <c r="E47" i="15" s="1"/>
  <c r="C45" i="15"/>
  <c r="D45" i="15" s="1"/>
  <c r="E45" i="15" s="1"/>
  <c r="C44" i="15"/>
  <c r="D44" i="15" s="1"/>
  <c r="E44" i="15" s="1"/>
  <c r="B38" i="15"/>
  <c r="B24" i="15"/>
  <c r="L17" i="1" s="1"/>
  <c r="B23" i="15"/>
  <c r="K17" i="1" s="1"/>
  <c r="B65" i="14"/>
  <c r="B61" i="14"/>
  <c r="C51" i="14"/>
  <c r="D51" i="14" s="1"/>
  <c r="E51" i="14" s="1"/>
  <c r="C50" i="14"/>
  <c r="D50" i="14" s="1"/>
  <c r="E50" i="14" s="1"/>
  <c r="E49" i="14"/>
  <c r="C49" i="14"/>
  <c r="D49" i="14" s="1"/>
  <c r="C48" i="14"/>
  <c r="D48" i="14" s="1"/>
  <c r="E48" i="14" s="1"/>
  <c r="E47" i="14"/>
  <c r="C47" i="14"/>
  <c r="D47" i="14" s="1"/>
  <c r="E46" i="14"/>
  <c r="C45" i="14"/>
  <c r="D45" i="14" s="1"/>
  <c r="E45" i="14" s="1"/>
  <c r="C44" i="14"/>
  <c r="D44" i="14" s="1"/>
  <c r="E44" i="14" s="1"/>
  <c r="B38" i="14"/>
  <c r="B24" i="14"/>
  <c r="L16" i="1" s="1"/>
  <c r="B23" i="14"/>
  <c r="K16" i="1" s="1"/>
  <c r="B65" i="13"/>
  <c r="B61" i="13"/>
  <c r="B52" i="13"/>
  <c r="B53" i="13" s="1"/>
  <c r="O15" i="1" s="1"/>
  <c r="E51" i="13"/>
  <c r="C51" i="13"/>
  <c r="D51" i="13" s="1"/>
  <c r="C50" i="13"/>
  <c r="D50" i="13" s="1"/>
  <c r="E50" i="13" s="1"/>
  <c r="C49" i="13"/>
  <c r="D49" i="13" s="1"/>
  <c r="E49" i="13" s="1"/>
  <c r="C48" i="13"/>
  <c r="D48" i="13" s="1"/>
  <c r="E48" i="13" s="1"/>
  <c r="C47" i="13"/>
  <c r="D47" i="13" s="1"/>
  <c r="E47" i="13" s="1"/>
  <c r="C45" i="13"/>
  <c r="D45" i="13" s="1"/>
  <c r="E45" i="13" s="1"/>
  <c r="C44" i="13"/>
  <c r="D44" i="13" s="1"/>
  <c r="B39" i="13"/>
  <c r="B38" i="13"/>
  <c r="B32" i="13"/>
  <c r="D31" i="13"/>
  <c r="E31" i="13" s="1"/>
  <c r="D30" i="13"/>
  <c r="E30" i="13" s="1"/>
  <c r="B24" i="13"/>
  <c r="L15" i="1" s="1"/>
  <c r="B23" i="13"/>
  <c r="K15" i="1" s="1"/>
  <c r="B65" i="12"/>
  <c r="B61" i="12"/>
  <c r="E51" i="12"/>
  <c r="C51" i="12"/>
  <c r="D51" i="12" s="1"/>
  <c r="C50" i="12"/>
  <c r="D50" i="12" s="1"/>
  <c r="E50" i="12" s="1"/>
  <c r="E49" i="12"/>
  <c r="C49" i="12"/>
  <c r="D49" i="12" s="1"/>
  <c r="C48" i="12"/>
  <c r="D48" i="12" s="1"/>
  <c r="E48" i="12" s="1"/>
  <c r="C47" i="12"/>
  <c r="D47" i="12" s="1"/>
  <c r="E47" i="12" s="1"/>
  <c r="C45" i="12"/>
  <c r="D45" i="12" s="1"/>
  <c r="E45" i="12" s="1"/>
  <c r="C44" i="12"/>
  <c r="D44" i="12" s="1"/>
  <c r="E44" i="12" s="1"/>
  <c r="B38" i="12"/>
  <c r="B24" i="12"/>
  <c r="L14" i="1" s="1"/>
  <c r="B23" i="12"/>
  <c r="K14" i="1" s="1"/>
  <c r="B66" i="11"/>
  <c r="B62" i="11"/>
  <c r="E52" i="11"/>
  <c r="C52" i="11"/>
  <c r="D52" i="11" s="1"/>
  <c r="E51" i="11"/>
  <c r="C51" i="11"/>
  <c r="D51" i="11" s="1"/>
  <c r="E50" i="11"/>
  <c r="C50" i="11"/>
  <c r="D50" i="11" s="1"/>
  <c r="E49" i="11"/>
  <c r="C49" i="11"/>
  <c r="D49" i="11" s="1"/>
  <c r="E48" i="11"/>
  <c r="C48" i="11"/>
  <c r="D48" i="11" s="1"/>
  <c r="E47" i="11"/>
  <c r="E46" i="11"/>
  <c r="C46" i="11"/>
  <c r="D46" i="11" s="1"/>
  <c r="E45" i="11"/>
  <c r="C45" i="11"/>
  <c r="D45" i="11" s="1"/>
  <c r="B40" i="11"/>
  <c r="B39" i="11"/>
  <c r="B33" i="11"/>
  <c r="D32" i="11"/>
  <c r="E32" i="11" s="1"/>
  <c r="D31" i="11"/>
  <c r="E31" i="11" s="1"/>
  <c r="D30" i="11"/>
  <c r="B24" i="11"/>
  <c r="L13" i="1" s="1"/>
  <c r="B23" i="11"/>
  <c r="B67" i="10"/>
  <c r="B63" i="10"/>
  <c r="C53" i="10"/>
  <c r="D53" i="10" s="1"/>
  <c r="E53" i="10" s="1"/>
  <c r="C52" i="10"/>
  <c r="D52" i="10" s="1"/>
  <c r="E52" i="10" s="1"/>
  <c r="C51" i="10"/>
  <c r="D51" i="10" s="1"/>
  <c r="E51" i="10" s="1"/>
  <c r="C50" i="10"/>
  <c r="D50" i="10" s="1"/>
  <c r="E50" i="10" s="1"/>
  <c r="C49" i="10"/>
  <c r="D49" i="10" s="1"/>
  <c r="E49" i="10" s="1"/>
  <c r="C47" i="10"/>
  <c r="D47" i="10" s="1"/>
  <c r="E47" i="10" s="1"/>
  <c r="C46" i="10"/>
  <c r="B40" i="10"/>
  <c r="B24" i="10"/>
  <c r="L12" i="1" s="1"/>
  <c r="B23" i="10"/>
  <c r="K12" i="1" s="1"/>
  <c r="B65" i="9"/>
  <c r="B61" i="9"/>
  <c r="E51" i="9"/>
  <c r="C51" i="9"/>
  <c r="D51" i="9" s="1"/>
  <c r="E50" i="9"/>
  <c r="C50" i="9"/>
  <c r="D50" i="9" s="1"/>
  <c r="E49" i="9"/>
  <c r="C49" i="9"/>
  <c r="D49" i="9" s="1"/>
  <c r="E48" i="9"/>
  <c r="C48" i="9"/>
  <c r="D48" i="9" s="1"/>
  <c r="E47" i="9"/>
  <c r="C47" i="9"/>
  <c r="D47" i="9" s="1"/>
  <c r="E46" i="9"/>
  <c r="E45" i="9"/>
  <c r="C45" i="9"/>
  <c r="D45" i="9" s="1"/>
  <c r="E44" i="9"/>
  <c r="C44" i="9"/>
  <c r="B39" i="9"/>
  <c r="B38" i="9"/>
  <c r="B32" i="9"/>
  <c r="D31" i="9"/>
  <c r="E31" i="9" s="1"/>
  <c r="D30" i="9"/>
  <c r="E30" i="9" s="1"/>
  <c r="B24" i="9"/>
  <c r="L11" i="1" s="1"/>
  <c r="B23" i="9"/>
  <c r="K11" i="1" s="1"/>
  <c r="B65" i="8"/>
  <c r="B61" i="8"/>
  <c r="E51" i="8"/>
  <c r="C51" i="8"/>
  <c r="D51" i="8" s="1"/>
  <c r="E50" i="8"/>
  <c r="C50" i="8"/>
  <c r="D50" i="8" s="1"/>
  <c r="E49" i="8"/>
  <c r="C49" i="8"/>
  <c r="D49" i="8" s="1"/>
  <c r="E48" i="8"/>
  <c r="C48" i="8"/>
  <c r="D48" i="8" s="1"/>
  <c r="E47" i="8"/>
  <c r="C47" i="8"/>
  <c r="D47" i="8" s="1"/>
  <c r="E46" i="8"/>
  <c r="E45" i="8"/>
  <c r="C45" i="8"/>
  <c r="D45" i="8" s="1"/>
  <c r="E44" i="8"/>
  <c r="C44" i="8"/>
  <c r="D44" i="8" s="1"/>
  <c r="B39" i="8"/>
  <c r="B38" i="8"/>
  <c r="B32" i="8"/>
  <c r="D31" i="8"/>
  <c r="D30" i="8"/>
  <c r="E30" i="8" s="1"/>
  <c r="B24" i="8"/>
  <c r="L10" i="1" s="1"/>
  <c r="B23" i="8"/>
  <c r="B67" i="7"/>
  <c r="B63" i="7"/>
  <c r="E53" i="7"/>
  <c r="C53" i="7"/>
  <c r="D53" i="7" s="1"/>
  <c r="C52" i="7"/>
  <c r="D52" i="7" s="1"/>
  <c r="E52" i="7" s="1"/>
  <c r="E51" i="7"/>
  <c r="C51" i="7"/>
  <c r="D51" i="7" s="1"/>
  <c r="C50" i="7"/>
  <c r="D50" i="7" s="1"/>
  <c r="E50" i="7" s="1"/>
  <c r="C49" i="7"/>
  <c r="D49" i="7" s="1"/>
  <c r="E49" i="7" s="1"/>
  <c r="C47" i="7"/>
  <c r="D47" i="7" s="1"/>
  <c r="E47" i="7" s="1"/>
  <c r="C46" i="7"/>
  <c r="B40" i="7"/>
  <c r="B24" i="7"/>
  <c r="L9" i="1" s="1"/>
  <c r="B23" i="7"/>
  <c r="K9" i="1" s="1"/>
  <c r="B65" i="6"/>
  <c r="B61" i="6"/>
  <c r="E51" i="6"/>
  <c r="C51" i="6"/>
  <c r="D51" i="6" s="1"/>
  <c r="E50" i="6"/>
  <c r="C50" i="6"/>
  <c r="D50" i="6" s="1"/>
  <c r="E49" i="6"/>
  <c r="C49" i="6"/>
  <c r="D49" i="6" s="1"/>
  <c r="E48" i="6"/>
  <c r="C48" i="6"/>
  <c r="D48" i="6" s="1"/>
  <c r="E47" i="6"/>
  <c r="C47" i="6"/>
  <c r="D47" i="6" s="1"/>
  <c r="E46" i="6"/>
  <c r="E45" i="6"/>
  <c r="C45" i="6"/>
  <c r="D45" i="6" s="1"/>
  <c r="E44" i="6"/>
  <c r="C44" i="6"/>
  <c r="D44" i="6" s="1"/>
  <c r="B39" i="6"/>
  <c r="B38" i="6"/>
  <c r="B32" i="6"/>
  <c r="D31" i="6"/>
  <c r="D30" i="6"/>
  <c r="E30" i="6" s="1"/>
  <c r="B24" i="6"/>
  <c r="L8" i="1" s="1"/>
  <c r="B23" i="6"/>
  <c r="K8" i="1" s="1"/>
  <c r="B67" i="5"/>
  <c r="B63" i="5"/>
  <c r="E53" i="5"/>
  <c r="C53" i="5"/>
  <c r="D53" i="5" s="1"/>
  <c r="E52" i="5"/>
  <c r="C52" i="5"/>
  <c r="D52" i="5" s="1"/>
  <c r="E51" i="5"/>
  <c r="C51" i="5"/>
  <c r="D51" i="5" s="1"/>
  <c r="E50" i="5"/>
  <c r="C50" i="5"/>
  <c r="D50" i="5" s="1"/>
  <c r="E49" i="5"/>
  <c r="C49" i="5"/>
  <c r="D49" i="5" s="1"/>
  <c r="E48" i="5"/>
  <c r="E47" i="5"/>
  <c r="C47" i="5"/>
  <c r="D47" i="5" s="1"/>
  <c r="E46" i="5"/>
  <c r="C46" i="5"/>
  <c r="B41" i="5"/>
  <c r="B40" i="5"/>
  <c r="B34" i="5"/>
  <c r="D33" i="5"/>
  <c r="E33" i="5" s="1"/>
  <c r="D32" i="5"/>
  <c r="E32" i="5" s="1"/>
  <c r="D31" i="5"/>
  <c r="E31" i="5" s="1"/>
  <c r="D30" i="5"/>
  <c r="B24" i="5"/>
  <c r="L7" i="1" s="1"/>
  <c r="B23" i="5"/>
  <c r="K7" i="1" s="1"/>
  <c r="B68" i="4"/>
  <c r="B64" i="4"/>
  <c r="E54" i="4"/>
  <c r="C54" i="4"/>
  <c r="D54" i="4" s="1"/>
  <c r="C53" i="4"/>
  <c r="D53" i="4" s="1"/>
  <c r="E53" i="4" s="1"/>
  <c r="C52" i="4"/>
  <c r="D52" i="4" s="1"/>
  <c r="E52" i="4" s="1"/>
  <c r="C51" i="4"/>
  <c r="D51" i="4" s="1"/>
  <c r="E51" i="4" s="1"/>
  <c r="C50" i="4"/>
  <c r="D50" i="4" s="1"/>
  <c r="E50" i="4" s="1"/>
  <c r="C48" i="4"/>
  <c r="D48" i="4" s="1"/>
  <c r="E48" i="4" s="1"/>
  <c r="C47" i="4"/>
  <c r="B41" i="4"/>
  <c r="B24" i="4"/>
  <c r="L6" i="1" s="1"/>
  <c r="B23" i="4"/>
  <c r="K6" i="1" s="1"/>
  <c r="B68" i="3"/>
  <c r="B64" i="3"/>
  <c r="E54" i="3"/>
  <c r="C54" i="3"/>
  <c r="D54" i="3" s="1"/>
  <c r="E53" i="3"/>
  <c r="C53" i="3"/>
  <c r="D53" i="3" s="1"/>
  <c r="E52" i="3"/>
  <c r="C52" i="3"/>
  <c r="D52" i="3" s="1"/>
  <c r="E51" i="3"/>
  <c r="C51" i="3"/>
  <c r="D51" i="3" s="1"/>
  <c r="E50" i="3"/>
  <c r="C50" i="3"/>
  <c r="D50" i="3" s="1"/>
  <c r="E49" i="3"/>
  <c r="E48" i="3"/>
  <c r="C48" i="3"/>
  <c r="D48" i="3" s="1"/>
  <c r="E47" i="3"/>
  <c r="C47" i="3"/>
  <c r="D47" i="3" s="1"/>
  <c r="B42" i="3"/>
  <c r="B41" i="3"/>
  <c r="B35" i="3"/>
  <c r="D34" i="3"/>
  <c r="E34" i="3" s="1"/>
  <c r="D33" i="3"/>
  <c r="E33" i="3" s="1"/>
  <c r="D32" i="3"/>
  <c r="E32" i="3" s="1"/>
  <c r="D31" i="3"/>
  <c r="D30" i="3"/>
  <c r="E30" i="3" s="1"/>
  <c r="B24" i="3"/>
  <c r="L5" i="1" s="1"/>
  <c r="B23" i="3"/>
  <c r="K5" i="1" s="1"/>
  <c r="R43" i="1"/>
  <c r="Q43" i="1"/>
  <c r="O43" i="1"/>
  <c r="N43" i="1"/>
  <c r="M43" i="1"/>
  <c r="J43" i="1"/>
  <c r="I43" i="1"/>
  <c r="H43" i="1"/>
  <c r="G43" i="1"/>
  <c r="F43" i="1"/>
  <c r="R42" i="1"/>
  <c r="O42" i="1"/>
  <c r="N42" i="1"/>
  <c r="M42" i="1"/>
  <c r="J42" i="1"/>
  <c r="I42" i="1"/>
  <c r="H42" i="1"/>
  <c r="G42" i="1"/>
  <c r="F42" i="1"/>
  <c r="R41" i="1"/>
  <c r="O41" i="1"/>
  <c r="N41" i="1"/>
  <c r="M41" i="1"/>
  <c r="L41" i="1"/>
  <c r="K41" i="1"/>
  <c r="J41" i="1"/>
  <c r="I41" i="1"/>
  <c r="H41" i="1"/>
  <c r="G41" i="1"/>
  <c r="F41" i="1"/>
  <c r="R40" i="1"/>
  <c r="N40" i="1"/>
  <c r="M40" i="1"/>
  <c r="L40" i="1"/>
  <c r="J40" i="1"/>
  <c r="I40" i="1"/>
  <c r="H40" i="1"/>
  <c r="G40" i="1"/>
  <c r="F40" i="1"/>
  <c r="R39" i="1"/>
  <c r="N39" i="1"/>
  <c r="M39" i="1"/>
  <c r="L39" i="1"/>
  <c r="K39" i="1"/>
  <c r="J39" i="1"/>
  <c r="I39" i="1"/>
  <c r="H39" i="1"/>
  <c r="G39" i="1"/>
  <c r="F39" i="1"/>
  <c r="R38" i="1"/>
  <c r="N38" i="1"/>
  <c r="M38" i="1"/>
  <c r="J38" i="1"/>
  <c r="I38" i="1"/>
  <c r="H38" i="1"/>
  <c r="G38" i="1"/>
  <c r="F38" i="1"/>
  <c r="R37" i="1"/>
  <c r="N37" i="1"/>
  <c r="M37" i="1"/>
  <c r="J37" i="1"/>
  <c r="I37" i="1"/>
  <c r="H37" i="1"/>
  <c r="G37" i="1"/>
  <c r="F37" i="1"/>
  <c r="N36" i="1"/>
  <c r="M36" i="1"/>
  <c r="J36" i="1"/>
  <c r="I36" i="1"/>
  <c r="H36" i="1"/>
  <c r="G36" i="1"/>
  <c r="F36" i="1"/>
  <c r="N35" i="1"/>
  <c r="M35" i="1"/>
  <c r="L35" i="1"/>
  <c r="J35" i="1"/>
  <c r="I35" i="1"/>
  <c r="H35" i="1"/>
  <c r="G35" i="1"/>
  <c r="F35" i="1"/>
  <c r="N34" i="1"/>
  <c r="M34" i="1"/>
  <c r="K34" i="1"/>
  <c r="J34" i="1"/>
  <c r="I34" i="1"/>
  <c r="H34" i="1"/>
  <c r="G34" i="1"/>
  <c r="F34" i="1"/>
  <c r="N33" i="1"/>
  <c r="M33" i="1"/>
  <c r="J33" i="1"/>
  <c r="I33" i="1"/>
  <c r="H33" i="1"/>
  <c r="G33" i="1"/>
  <c r="F33" i="1"/>
  <c r="N32" i="1"/>
  <c r="M32" i="1"/>
  <c r="J32" i="1"/>
  <c r="I32" i="1"/>
  <c r="H32" i="1"/>
  <c r="G32" i="1"/>
  <c r="F32" i="1"/>
  <c r="N31" i="1"/>
  <c r="M31" i="1"/>
  <c r="L31" i="1"/>
  <c r="J31" i="1"/>
  <c r="I31" i="1"/>
  <c r="H31" i="1"/>
  <c r="G31" i="1"/>
  <c r="F31" i="1"/>
  <c r="N30" i="1"/>
  <c r="M30" i="1"/>
  <c r="K30" i="1"/>
  <c r="J30" i="1"/>
  <c r="I30" i="1"/>
  <c r="H30" i="1"/>
  <c r="G30" i="1"/>
  <c r="F30" i="1"/>
  <c r="N29" i="1"/>
  <c r="M29" i="1"/>
  <c r="L29" i="1"/>
  <c r="J29" i="1"/>
  <c r="I29" i="1"/>
  <c r="H29" i="1"/>
  <c r="G29" i="1"/>
  <c r="F29" i="1"/>
  <c r="N28" i="1"/>
  <c r="M28" i="1"/>
  <c r="J28" i="1"/>
  <c r="I28" i="1"/>
  <c r="H28" i="1"/>
  <c r="G28" i="1"/>
  <c r="F28" i="1"/>
  <c r="N27" i="1"/>
  <c r="M27" i="1"/>
  <c r="L27" i="1"/>
  <c r="J27" i="1"/>
  <c r="I27" i="1"/>
  <c r="H27" i="1"/>
  <c r="G27" i="1"/>
  <c r="F27" i="1"/>
  <c r="N26" i="1"/>
  <c r="M26" i="1"/>
  <c r="J26" i="1"/>
  <c r="I26" i="1"/>
  <c r="H26" i="1"/>
  <c r="G26" i="1"/>
  <c r="F26" i="1"/>
  <c r="N25" i="1"/>
  <c r="M25" i="1"/>
  <c r="J25" i="1"/>
  <c r="I25" i="1"/>
  <c r="H25" i="1"/>
  <c r="G25" i="1"/>
  <c r="F25" i="1"/>
  <c r="N24" i="1"/>
  <c r="M24" i="1"/>
  <c r="K24" i="1"/>
  <c r="J24" i="1"/>
  <c r="I24" i="1"/>
  <c r="H24" i="1"/>
  <c r="G24" i="1"/>
  <c r="F24" i="1"/>
  <c r="N23" i="1"/>
  <c r="M23" i="1"/>
  <c r="J23" i="1"/>
  <c r="I23" i="1"/>
  <c r="H23" i="1"/>
  <c r="G23" i="1"/>
  <c r="F23" i="1"/>
  <c r="N22" i="1"/>
  <c r="M22" i="1"/>
  <c r="J22" i="1"/>
  <c r="I22" i="1"/>
  <c r="H22" i="1"/>
  <c r="G22" i="1"/>
  <c r="F22" i="1"/>
  <c r="N21" i="1"/>
  <c r="M21" i="1"/>
  <c r="L21" i="1"/>
  <c r="J21" i="1"/>
  <c r="I21" i="1"/>
  <c r="H21" i="1"/>
  <c r="G21" i="1"/>
  <c r="F21" i="1"/>
  <c r="N20" i="1"/>
  <c r="M20" i="1"/>
  <c r="J20" i="1"/>
  <c r="I20" i="1"/>
  <c r="H20" i="1"/>
  <c r="G20" i="1"/>
  <c r="F20" i="1"/>
  <c r="N19" i="1"/>
  <c r="M19" i="1"/>
  <c r="J19" i="1"/>
  <c r="I19" i="1"/>
  <c r="H19" i="1"/>
  <c r="G19" i="1"/>
  <c r="F19" i="1"/>
  <c r="N18" i="1"/>
  <c r="M18" i="1"/>
  <c r="J18" i="1"/>
  <c r="I18" i="1"/>
  <c r="H18" i="1"/>
  <c r="G18" i="1"/>
  <c r="F18" i="1"/>
  <c r="N17" i="1"/>
  <c r="M17" i="1"/>
  <c r="J17" i="1"/>
  <c r="I17" i="1"/>
  <c r="H17" i="1"/>
  <c r="G17" i="1"/>
  <c r="F17" i="1"/>
  <c r="N16" i="1"/>
  <c r="M16" i="1"/>
  <c r="J16" i="1"/>
  <c r="I16" i="1"/>
  <c r="H16" i="1"/>
  <c r="G16" i="1"/>
  <c r="F16" i="1"/>
  <c r="N15" i="1"/>
  <c r="M15" i="1"/>
  <c r="J15" i="1"/>
  <c r="I15" i="1"/>
  <c r="H15" i="1"/>
  <c r="G15" i="1"/>
  <c r="F15" i="1"/>
  <c r="N14" i="1"/>
  <c r="M14" i="1"/>
  <c r="J14" i="1"/>
  <c r="I14" i="1"/>
  <c r="H14" i="1"/>
  <c r="G14" i="1"/>
  <c r="F14" i="1"/>
  <c r="N13" i="1"/>
  <c r="M13" i="1"/>
  <c r="K13" i="1"/>
  <c r="J13" i="1"/>
  <c r="I13" i="1"/>
  <c r="H13" i="1"/>
  <c r="G13" i="1"/>
  <c r="F13" i="1"/>
  <c r="N12" i="1"/>
  <c r="M12" i="1"/>
  <c r="J12" i="1"/>
  <c r="I12" i="1"/>
  <c r="H12" i="1"/>
  <c r="G12" i="1"/>
  <c r="F12" i="1"/>
  <c r="N11" i="1"/>
  <c r="M11" i="1"/>
  <c r="J11" i="1"/>
  <c r="I11" i="1"/>
  <c r="H11" i="1"/>
  <c r="G11" i="1"/>
  <c r="F11" i="1"/>
  <c r="N10" i="1"/>
  <c r="M10" i="1"/>
  <c r="K10" i="1"/>
  <c r="J10" i="1"/>
  <c r="I10" i="1"/>
  <c r="H10" i="1"/>
  <c r="G10" i="1"/>
  <c r="F10" i="1"/>
  <c r="N9" i="1"/>
  <c r="M9" i="1"/>
  <c r="J9" i="1"/>
  <c r="I9" i="1"/>
  <c r="H9" i="1"/>
  <c r="G9" i="1"/>
  <c r="F9" i="1"/>
  <c r="N8" i="1"/>
  <c r="M8" i="1"/>
  <c r="J8" i="1"/>
  <c r="I8" i="1"/>
  <c r="H8" i="1"/>
  <c r="G8" i="1"/>
  <c r="F8" i="1"/>
  <c r="N7" i="1"/>
  <c r="M7" i="1"/>
  <c r="J7" i="1"/>
  <c r="I7" i="1"/>
  <c r="H7" i="1"/>
  <c r="G7" i="1"/>
  <c r="F7" i="1"/>
  <c r="N6" i="1"/>
  <c r="M6" i="1"/>
  <c r="J6" i="1"/>
  <c r="I6" i="1"/>
  <c r="H6" i="1"/>
  <c r="G6" i="1"/>
  <c r="F6" i="1"/>
  <c r="N5" i="1"/>
  <c r="M5" i="1"/>
  <c r="J5" i="1"/>
  <c r="I5" i="1"/>
  <c r="H5" i="1"/>
  <c r="G5" i="1"/>
  <c r="F5" i="1"/>
  <c r="D34" i="16" l="1"/>
  <c r="C34" i="16" s="1"/>
  <c r="D32" i="29"/>
  <c r="D34" i="10"/>
  <c r="C34" i="10" s="1"/>
  <c r="D34" i="19"/>
  <c r="B41" i="24"/>
  <c r="B60" i="24" s="1"/>
  <c r="E33" i="24"/>
  <c r="C37" i="24" s="1"/>
  <c r="B40" i="9"/>
  <c r="B52" i="9" s="1"/>
  <c r="B53" i="9" s="1"/>
  <c r="O11" i="1" s="1"/>
  <c r="D33" i="24"/>
  <c r="C33" i="24" s="1"/>
  <c r="E34" i="19"/>
  <c r="C38" i="19" s="1"/>
  <c r="E35" i="4"/>
  <c r="C39" i="4" s="1"/>
  <c r="B40" i="39"/>
  <c r="B54" i="39" s="1"/>
  <c r="C34" i="19"/>
  <c r="E32" i="7"/>
  <c r="E34" i="7" s="1"/>
  <c r="C38" i="7" s="1"/>
  <c r="B40" i="12"/>
  <c r="B59" i="12" s="1"/>
  <c r="E30" i="10"/>
  <c r="E34" i="10" s="1"/>
  <c r="C38" i="10" s="1"/>
  <c r="E30" i="16"/>
  <c r="E34" i="16" s="1"/>
  <c r="C38" i="16" s="1"/>
  <c r="E30" i="15"/>
  <c r="E32" i="15" s="1"/>
  <c r="C36" i="15" s="1"/>
  <c r="C32" i="29"/>
  <c r="E30" i="14"/>
  <c r="E32" i="14" s="1"/>
  <c r="C36" i="14" s="1"/>
  <c r="E30" i="12"/>
  <c r="E32" i="12" s="1"/>
  <c r="C36" i="12" s="1"/>
  <c r="C31" i="26"/>
  <c r="D35" i="4"/>
  <c r="C35" i="4" s="1"/>
  <c r="D32" i="20"/>
  <c r="C32" i="20" s="1"/>
  <c r="B41" i="32"/>
  <c r="B61" i="32" s="1"/>
  <c r="B54" i="24"/>
  <c r="O26" i="1" s="1"/>
  <c r="B42" i="16"/>
  <c r="B61" i="16" s="1"/>
  <c r="B40" i="20"/>
  <c r="B52" i="20" s="1"/>
  <c r="B59" i="20" s="1"/>
  <c r="B41" i="21"/>
  <c r="D33" i="27"/>
  <c r="C33" i="27" s="1"/>
  <c r="B40" i="33"/>
  <c r="B52" i="33" s="1"/>
  <c r="E33" i="28"/>
  <c r="C37" i="28" s="1"/>
  <c r="C40" i="28" s="1"/>
  <c r="B41" i="27"/>
  <c r="B53" i="27" s="1"/>
  <c r="B60" i="27" s="1"/>
  <c r="D31" i="37"/>
  <c r="C31" i="37" s="1"/>
  <c r="B39" i="37"/>
  <c r="B53" i="37" s="1"/>
  <c r="B42" i="25"/>
  <c r="B54" i="25" s="1"/>
  <c r="B39" i="26"/>
  <c r="B53" i="26" s="1"/>
  <c r="D32" i="31"/>
  <c r="C32" i="31" s="1"/>
  <c r="E32" i="38"/>
  <c r="C37" i="38" s="1"/>
  <c r="B53" i="12"/>
  <c r="O14" i="1" s="1"/>
  <c r="B42" i="23"/>
  <c r="B54" i="23" s="1"/>
  <c r="B55" i="23" s="1"/>
  <c r="O25" i="1" s="1"/>
  <c r="D32" i="21"/>
  <c r="C32" i="21" s="1"/>
  <c r="E32" i="27"/>
  <c r="E33" i="27" s="1"/>
  <c r="C37" i="27" s="1"/>
  <c r="C39" i="27" s="1"/>
  <c r="B40" i="31"/>
  <c r="B52" i="31" s="1"/>
  <c r="C31" i="41"/>
  <c r="B40" i="6"/>
  <c r="D32" i="8"/>
  <c r="C32" i="8" s="1"/>
  <c r="B40" i="8"/>
  <c r="B41" i="18"/>
  <c r="B55" i="18" s="1"/>
  <c r="B42" i="22"/>
  <c r="B54" i="22" s="1"/>
  <c r="D32" i="39"/>
  <c r="C32" i="39" s="1"/>
  <c r="D32" i="9"/>
  <c r="C32" i="9" s="1"/>
  <c r="B40" i="29"/>
  <c r="B52" i="29" s="1"/>
  <c r="B40" i="40"/>
  <c r="B54" i="40" s="1"/>
  <c r="B43" i="4"/>
  <c r="B62" i="4" s="1"/>
  <c r="E32" i="13"/>
  <c r="C36" i="13" s="1"/>
  <c r="C39" i="13" s="1"/>
  <c r="E31" i="8"/>
  <c r="E32" i="8" s="1"/>
  <c r="C36" i="8" s="1"/>
  <c r="B40" i="14"/>
  <c r="B59" i="14" s="1"/>
  <c r="D33" i="18"/>
  <c r="C33" i="18" s="1"/>
  <c r="D33" i="30"/>
  <c r="C33" i="30" s="1"/>
  <c r="B40" i="13"/>
  <c r="B59" i="13" s="1"/>
  <c r="E30" i="20"/>
  <c r="E32" i="20" s="1"/>
  <c r="C36" i="20" s="1"/>
  <c r="C38" i="20" s="1"/>
  <c r="E30" i="21"/>
  <c r="E32" i="21" s="1"/>
  <c r="C37" i="21" s="1"/>
  <c r="C40" i="21" s="1"/>
  <c r="B41" i="30"/>
  <c r="B53" i="30" s="1"/>
  <c r="B60" i="30" s="1"/>
  <c r="E30" i="31"/>
  <c r="E32" i="31" s="1"/>
  <c r="C36" i="31" s="1"/>
  <c r="C38" i="31" s="1"/>
  <c r="D32" i="35"/>
  <c r="C32" i="35" s="1"/>
  <c r="E30" i="41"/>
  <c r="E31" i="41" s="1"/>
  <c r="C35" i="41" s="1"/>
  <c r="C38" i="41" s="1"/>
  <c r="E30" i="26"/>
  <c r="E31" i="26" s="1"/>
  <c r="C35" i="26" s="1"/>
  <c r="C38" i="26" s="1"/>
  <c r="B40" i="35"/>
  <c r="B54" i="35" s="1"/>
  <c r="E30" i="29"/>
  <c r="E32" i="29" s="1"/>
  <c r="C36" i="29" s="1"/>
  <c r="C38" i="29" s="1"/>
  <c r="B41" i="11"/>
  <c r="B53" i="11" s="1"/>
  <c r="B60" i="11" s="1"/>
  <c r="J44" i="1"/>
  <c r="B40" i="15"/>
  <c r="B59" i="15" s="1"/>
  <c r="B41" i="17"/>
  <c r="B39" i="41"/>
  <c r="B53" i="41" s="1"/>
  <c r="B41" i="28"/>
  <c r="B53" i="28" s="1"/>
  <c r="B41" i="38"/>
  <c r="B55" i="38" s="1"/>
  <c r="E32" i="35"/>
  <c r="C36" i="35" s="1"/>
  <c r="C39" i="35" s="1"/>
  <c r="M44" i="1"/>
  <c r="D32" i="6"/>
  <c r="C32" i="6" s="1"/>
  <c r="B42" i="5"/>
  <c r="B54" i="5" s="1"/>
  <c r="B61" i="5" s="1"/>
  <c r="E31" i="6"/>
  <c r="E32" i="6" s="1"/>
  <c r="C36" i="6" s="1"/>
  <c r="B42" i="7"/>
  <c r="B42" i="10"/>
  <c r="B61" i="10" s="1"/>
  <c r="D34" i="25"/>
  <c r="C34" i="25" s="1"/>
  <c r="D34" i="22"/>
  <c r="C34" i="22" s="1"/>
  <c r="E30" i="22"/>
  <c r="E34" i="22" s="1"/>
  <c r="C38" i="22" s="1"/>
  <c r="B63" i="34"/>
  <c r="R36" i="1"/>
  <c r="B61" i="34"/>
  <c r="E31" i="3"/>
  <c r="E35" i="3" s="1"/>
  <c r="C39" i="3" s="1"/>
  <c r="D35" i="3"/>
  <c r="C35" i="3" s="1"/>
  <c r="E30" i="5"/>
  <c r="E34" i="5" s="1"/>
  <c r="C38" i="5" s="1"/>
  <c r="D34" i="5"/>
  <c r="C34" i="5" s="1"/>
  <c r="B52" i="6"/>
  <c r="C62" i="38"/>
  <c r="U40" i="1" s="1"/>
  <c r="C39" i="38"/>
  <c r="C40" i="38"/>
  <c r="N44" i="1"/>
  <c r="B63" i="18"/>
  <c r="R20" i="1"/>
  <c r="B61" i="18"/>
  <c r="D32" i="38"/>
  <c r="C32" i="38" s="1"/>
  <c r="B54" i="12"/>
  <c r="D46" i="23"/>
  <c r="B52" i="8"/>
  <c r="B59" i="8" s="1"/>
  <c r="E33" i="17"/>
  <c r="C37" i="17" s="1"/>
  <c r="C39" i="21"/>
  <c r="D43" i="26"/>
  <c r="D44" i="29"/>
  <c r="C38" i="33"/>
  <c r="C40" i="33" s="1"/>
  <c r="C46" i="33" s="1"/>
  <c r="C61" i="33"/>
  <c r="U35" i="1" s="1"/>
  <c r="D32" i="40"/>
  <c r="C32" i="40" s="1"/>
  <c r="E31" i="40"/>
  <c r="E32" i="40" s="1"/>
  <c r="C36" i="40" s="1"/>
  <c r="F44" i="1"/>
  <c r="D44" i="37"/>
  <c r="B55" i="16"/>
  <c r="O18" i="1" s="1"/>
  <c r="B56" i="16"/>
  <c r="D46" i="25"/>
  <c r="E32" i="9"/>
  <c r="C36" i="9" s="1"/>
  <c r="E33" i="23"/>
  <c r="E34" i="23" s="1"/>
  <c r="C38" i="23" s="1"/>
  <c r="D34" i="23"/>
  <c r="C34" i="23" s="1"/>
  <c r="B43" i="3"/>
  <c r="D47" i="4"/>
  <c r="E47" i="4" s="1"/>
  <c r="D46" i="18"/>
  <c r="D45" i="21"/>
  <c r="D45" i="32"/>
  <c r="C37" i="37"/>
  <c r="C38" i="37"/>
  <c r="D46" i="7"/>
  <c r="E46" i="7" s="1"/>
  <c r="D33" i="17"/>
  <c r="C33" i="17" s="1"/>
  <c r="E30" i="25"/>
  <c r="E34" i="25" s="1"/>
  <c r="C38" i="25" s="1"/>
  <c r="D31" i="36"/>
  <c r="C31" i="36" s="1"/>
  <c r="E30" i="36"/>
  <c r="E31" i="36" s="1"/>
  <c r="C35" i="36" s="1"/>
  <c r="D46" i="5"/>
  <c r="B55" i="24"/>
  <c r="D33" i="11"/>
  <c r="C33" i="11" s="1"/>
  <c r="D45" i="24"/>
  <c r="E45" i="24" s="1"/>
  <c r="E30" i="11"/>
  <c r="E33" i="11" s="1"/>
  <c r="C37" i="11" s="1"/>
  <c r="E44" i="13"/>
  <c r="D32" i="13"/>
  <c r="C32" i="13" s="1"/>
  <c r="B55" i="32"/>
  <c r="O34" i="1" s="1"/>
  <c r="E33" i="30"/>
  <c r="C37" i="30" s="1"/>
  <c r="E33" i="34"/>
  <c r="C37" i="34" s="1"/>
  <c r="D33" i="28"/>
  <c r="C33" i="28" s="1"/>
  <c r="D45" i="28"/>
  <c r="D43" i="41"/>
  <c r="E33" i="18"/>
  <c r="C37" i="18" s="1"/>
  <c r="D33" i="34"/>
  <c r="C33" i="34" s="1"/>
  <c r="E30" i="32"/>
  <c r="E33" i="32" s="1"/>
  <c r="C37" i="32" s="1"/>
  <c r="D33" i="32"/>
  <c r="C33" i="32" s="1"/>
  <c r="D46" i="22"/>
  <c r="D44" i="9"/>
  <c r="D46" i="10"/>
  <c r="E46" i="10" s="1"/>
  <c r="B53" i="21"/>
  <c r="B60" i="21" s="1"/>
  <c r="D45" i="30"/>
  <c r="D32" i="33"/>
  <c r="C32" i="33" s="1"/>
  <c r="E32" i="39"/>
  <c r="C36" i="39" s="1"/>
  <c r="B56" i="32" l="1"/>
  <c r="B61" i="25"/>
  <c r="B55" i="25"/>
  <c r="O27" i="1" s="1"/>
  <c r="B56" i="25"/>
  <c r="B56" i="23"/>
  <c r="B54" i="13"/>
  <c r="C39" i="20"/>
  <c r="B58" i="26"/>
  <c r="B61" i="26" s="1"/>
  <c r="B55" i="7"/>
  <c r="O9" i="1" s="1"/>
  <c r="B61" i="7"/>
  <c r="R9" i="1" s="1"/>
  <c r="B59" i="33"/>
  <c r="B62" i="33" s="1"/>
  <c r="C61" i="20"/>
  <c r="U22" i="1" s="1"/>
  <c r="B61" i="23"/>
  <c r="B64" i="23" s="1"/>
  <c r="C39" i="28"/>
  <c r="C41" i="28" s="1"/>
  <c r="C47" i="28" s="1"/>
  <c r="C61" i="29"/>
  <c r="U31" i="1" s="1"/>
  <c r="C62" i="28"/>
  <c r="U30" i="1" s="1"/>
  <c r="C39" i="29"/>
  <c r="C40" i="29" s="1"/>
  <c r="B54" i="29"/>
  <c r="B53" i="29"/>
  <c r="O31" i="1" s="1"/>
  <c r="C39" i="31"/>
  <c r="B59" i="9"/>
  <c r="B60" i="9" s="1"/>
  <c r="C61" i="13"/>
  <c r="U15" i="1" s="1"/>
  <c r="C38" i="13"/>
  <c r="C40" i="13" s="1"/>
  <c r="B59" i="29"/>
  <c r="B60" i="29" s="1"/>
  <c r="C62" i="27"/>
  <c r="U29" i="1" s="1"/>
  <c r="C40" i="27"/>
  <c r="C41" i="27" s="1"/>
  <c r="C47" i="27" s="1"/>
  <c r="C41" i="38"/>
  <c r="C47" i="38" s="1"/>
  <c r="D47" i="38" s="1"/>
  <c r="D53" i="38" s="1"/>
  <c r="D54" i="38" s="1"/>
  <c r="P40" i="1" s="1"/>
  <c r="B54" i="9"/>
  <c r="C61" i="31"/>
  <c r="U33" i="1" s="1"/>
  <c r="K44" i="1"/>
  <c r="C64" i="4"/>
  <c r="U6" i="1" s="1"/>
  <c r="C42" i="4"/>
  <c r="C41" i="4"/>
  <c r="C61" i="8"/>
  <c r="U10" i="1" s="1"/>
  <c r="C39" i="8"/>
  <c r="C38" i="8"/>
  <c r="C38" i="6"/>
  <c r="C61" i="6"/>
  <c r="U8" i="1" s="1"/>
  <c r="C39" i="6"/>
  <c r="B64" i="25"/>
  <c r="R27" i="1"/>
  <c r="B62" i="25"/>
  <c r="C60" i="26"/>
  <c r="U28" i="1" s="1"/>
  <c r="C37" i="26"/>
  <c r="C39" i="26" s="1"/>
  <c r="C37" i="41"/>
  <c r="C39" i="41" s="1"/>
  <c r="C45" i="41" s="1"/>
  <c r="D45" i="41" s="1"/>
  <c r="C40" i="20"/>
  <c r="C46" i="20" s="1"/>
  <c r="D46" i="20" s="1"/>
  <c r="D52" i="20" s="1"/>
  <c r="D53" i="20" s="1"/>
  <c r="P22" i="1" s="1"/>
  <c r="C61" i="35"/>
  <c r="U37" i="1" s="1"/>
  <c r="C60" i="41"/>
  <c r="U43" i="1" s="1"/>
  <c r="C38" i="35"/>
  <c r="C40" i="35" s="1"/>
  <c r="B53" i="17"/>
  <c r="B60" i="17" s="1"/>
  <c r="B59" i="26"/>
  <c r="C62" i="21"/>
  <c r="U23" i="1" s="1"/>
  <c r="C41" i="21"/>
  <c r="C47" i="21" s="1"/>
  <c r="D47" i="21" s="1"/>
  <c r="D53" i="21" s="1"/>
  <c r="B56" i="7"/>
  <c r="B61" i="27"/>
  <c r="B63" i="27"/>
  <c r="R29" i="1"/>
  <c r="C41" i="3"/>
  <c r="C64" i="3"/>
  <c r="U5" i="1" s="1"/>
  <c r="C42" i="3"/>
  <c r="C61" i="40"/>
  <c r="U42" i="1" s="1"/>
  <c r="C39" i="40"/>
  <c r="C38" i="40"/>
  <c r="B60" i="8"/>
  <c r="R10" i="1"/>
  <c r="B62" i="8"/>
  <c r="B60" i="14"/>
  <c r="B62" i="14"/>
  <c r="R16" i="1"/>
  <c r="B60" i="20"/>
  <c r="B62" i="20"/>
  <c r="R22" i="1"/>
  <c r="B64" i="19"/>
  <c r="B62" i="19"/>
  <c r="R21" i="1"/>
  <c r="C62" i="34"/>
  <c r="U36" i="1" s="1"/>
  <c r="C39" i="34"/>
  <c r="C40" i="34"/>
  <c r="B53" i="6"/>
  <c r="O8" i="1" s="1"/>
  <c r="B54" i="6"/>
  <c r="B64" i="32"/>
  <c r="B62" i="32"/>
  <c r="R34" i="1"/>
  <c r="E43" i="26"/>
  <c r="B61" i="24"/>
  <c r="B63" i="24"/>
  <c r="R26" i="1"/>
  <c r="B56" i="4"/>
  <c r="O6" i="1" s="1"/>
  <c r="B57" i="4"/>
  <c r="B63" i="30"/>
  <c r="R32" i="1"/>
  <c r="B61" i="30"/>
  <c r="C38" i="9"/>
  <c r="C61" i="9"/>
  <c r="U11" i="1" s="1"/>
  <c r="C39" i="9"/>
  <c r="B54" i="33"/>
  <c r="B53" i="33"/>
  <c r="O35" i="1" s="1"/>
  <c r="B56" i="10"/>
  <c r="B55" i="10"/>
  <c r="O12" i="1" s="1"/>
  <c r="B54" i="31"/>
  <c r="B53" i="31"/>
  <c r="O33" i="1" s="1"/>
  <c r="B62" i="13"/>
  <c r="B60" i="13"/>
  <c r="R15" i="1"/>
  <c r="C40" i="23"/>
  <c r="C63" i="23"/>
  <c r="U25" i="1" s="1"/>
  <c r="C41" i="23"/>
  <c r="B55" i="30"/>
  <c r="B54" i="30"/>
  <c r="O32" i="1" s="1"/>
  <c r="B55" i="3"/>
  <c r="B59" i="31"/>
  <c r="C39" i="37"/>
  <c r="B54" i="11"/>
  <c r="O13" i="1" s="1"/>
  <c r="B55" i="11"/>
  <c r="C41" i="22"/>
  <c r="C40" i="22"/>
  <c r="C63" i="22"/>
  <c r="U24" i="1" s="1"/>
  <c r="C40" i="19"/>
  <c r="C63" i="19"/>
  <c r="U21" i="1" s="1"/>
  <c r="C41" i="19"/>
  <c r="B62" i="10"/>
  <c r="B64" i="10"/>
  <c r="R12" i="1"/>
  <c r="C40" i="32"/>
  <c r="C63" i="32"/>
  <c r="U34" i="1" s="1"/>
  <c r="C39" i="32"/>
  <c r="B54" i="20"/>
  <c r="B53" i="20"/>
  <c r="O22" i="1" s="1"/>
  <c r="B64" i="16"/>
  <c r="R18" i="1"/>
  <c r="B62" i="16"/>
  <c r="D46" i="33"/>
  <c r="D52" i="33" s="1"/>
  <c r="E52" i="33" s="1"/>
  <c r="C52" i="33"/>
  <c r="C62" i="17"/>
  <c r="U19" i="1" s="1"/>
  <c r="C40" i="17"/>
  <c r="C39" i="17"/>
  <c r="B55" i="5"/>
  <c r="O7" i="1" s="1"/>
  <c r="B56" i="5"/>
  <c r="B55" i="27"/>
  <c r="B54" i="27"/>
  <c r="O29" i="1" s="1"/>
  <c r="B55" i="22"/>
  <c r="O24" i="1" s="1"/>
  <c r="B56" i="22"/>
  <c r="C39" i="11"/>
  <c r="C40" i="11"/>
  <c r="C62" i="11"/>
  <c r="U13" i="1" s="1"/>
  <c r="C38" i="12"/>
  <c r="C61" i="12"/>
  <c r="U14" i="1" s="1"/>
  <c r="C39" i="12"/>
  <c r="B61" i="21"/>
  <c r="B63" i="21"/>
  <c r="R23" i="1"/>
  <c r="B60" i="12"/>
  <c r="R14" i="1"/>
  <c r="B62" i="12"/>
  <c r="C39" i="30"/>
  <c r="C40" i="30"/>
  <c r="C62" i="30"/>
  <c r="U32" i="1" s="1"/>
  <c r="C62" i="24"/>
  <c r="U26" i="1" s="1"/>
  <c r="C39" i="24"/>
  <c r="C40" i="24"/>
  <c r="C39" i="39"/>
  <c r="C38" i="39"/>
  <c r="C61" i="39"/>
  <c r="U41" i="1" s="1"/>
  <c r="B56" i="19"/>
  <c r="B55" i="19"/>
  <c r="O21" i="1" s="1"/>
  <c r="C63" i="7"/>
  <c r="U9" i="1" s="1"/>
  <c r="C41" i="7"/>
  <c r="C40" i="7"/>
  <c r="E45" i="32"/>
  <c r="C63" i="5"/>
  <c r="U7" i="1" s="1"/>
  <c r="C41" i="5"/>
  <c r="C40" i="5"/>
  <c r="B54" i="14"/>
  <c r="B53" i="14"/>
  <c r="O16" i="1" s="1"/>
  <c r="B54" i="28"/>
  <c r="O30" i="1" s="1"/>
  <c r="B55" i="28"/>
  <c r="C40" i="31"/>
  <c r="B53" i="15"/>
  <c r="O17" i="1" s="1"/>
  <c r="B54" i="15"/>
  <c r="D51" i="41"/>
  <c r="C58" i="41" s="1"/>
  <c r="B60" i="28"/>
  <c r="C37" i="36"/>
  <c r="C38" i="36"/>
  <c r="C60" i="36"/>
  <c r="U38" i="1" s="1"/>
  <c r="C45" i="26"/>
  <c r="C63" i="25"/>
  <c r="U27" i="1" s="1"/>
  <c r="C41" i="25"/>
  <c r="C40" i="25"/>
  <c r="B54" i="21"/>
  <c r="O23" i="1" s="1"/>
  <c r="B55" i="21"/>
  <c r="C61" i="15"/>
  <c r="U17" i="1" s="1"/>
  <c r="C39" i="15"/>
  <c r="C38" i="15"/>
  <c r="B63" i="11"/>
  <c r="B61" i="11"/>
  <c r="R13" i="1"/>
  <c r="C41" i="16"/>
  <c r="C63" i="16"/>
  <c r="U18" i="1" s="1"/>
  <c r="C40" i="16"/>
  <c r="C41" i="10"/>
  <c r="C63" i="10"/>
  <c r="U12" i="1" s="1"/>
  <c r="C40" i="10"/>
  <c r="B62" i="5"/>
  <c r="B64" i="5"/>
  <c r="R7" i="1"/>
  <c r="C39" i="18"/>
  <c r="C62" i="18"/>
  <c r="U20" i="1" s="1"/>
  <c r="C40" i="18"/>
  <c r="C51" i="41"/>
  <c r="C61" i="14"/>
  <c r="U16" i="1" s="1"/>
  <c r="C39" i="14"/>
  <c r="C38" i="14"/>
  <c r="B54" i="8"/>
  <c r="B53" i="8"/>
  <c r="O10" i="1" s="1"/>
  <c r="B61" i="22"/>
  <c r="B59" i="6"/>
  <c r="R25" i="1" l="1"/>
  <c r="B62" i="23"/>
  <c r="R35" i="1"/>
  <c r="C40" i="39"/>
  <c r="C46" i="39" s="1"/>
  <c r="B60" i="33"/>
  <c r="R28" i="1"/>
  <c r="D54" i="21"/>
  <c r="P23" i="1" s="1"/>
  <c r="D55" i="21"/>
  <c r="E53" i="21"/>
  <c r="B56" i="21"/>
  <c r="Q23" i="1" s="1"/>
  <c r="C53" i="21"/>
  <c r="C54" i="21" s="1"/>
  <c r="C60" i="21"/>
  <c r="C61" i="21" s="1"/>
  <c r="T23" i="1" s="1"/>
  <c r="C40" i="40"/>
  <c r="C46" i="40" s="1"/>
  <c r="C52" i="40" s="1"/>
  <c r="C40" i="9"/>
  <c r="C46" i="9" s="1"/>
  <c r="C43" i="3"/>
  <c r="C49" i="3" s="1"/>
  <c r="C53" i="38"/>
  <c r="C54" i="38" s="1"/>
  <c r="C40" i="8"/>
  <c r="C46" i="8" s="1"/>
  <c r="D47" i="28"/>
  <c r="D53" i="28" s="1"/>
  <c r="C53" i="28"/>
  <c r="C41" i="17"/>
  <c r="C47" i="17" s="1"/>
  <c r="D47" i="17" s="1"/>
  <c r="D53" i="17" s="1"/>
  <c r="C40" i="6"/>
  <c r="C46" i="6" s="1"/>
  <c r="D46" i="6" s="1"/>
  <c r="D52" i="6" s="1"/>
  <c r="B62" i="7"/>
  <c r="B62" i="29"/>
  <c r="R31" i="1"/>
  <c r="R11" i="1"/>
  <c r="B62" i="9"/>
  <c r="B64" i="7"/>
  <c r="D55" i="38"/>
  <c r="B55" i="33"/>
  <c r="Q35" i="1" s="1"/>
  <c r="C60" i="38"/>
  <c r="C63" i="38" s="1"/>
  <c r="C42" i="5"/>
  <c r="C48" i="5" s="1"/>
  <c r="D48" i="5" s="1"/>
  <c r="D54" i="5" s="1"/>
  <c r="C61" i="5" s="1"/>
  <c r="C42" i="22"/>
  <c r="C48" i="22" s="1"/>
  <c r="D48" i="22" s="1"/>
  <c r="D54" i="22" s="1"/>
  <c r="C61" i="22" s="1"/>
  <c r="C42" i="10"/>
  <c r="C48" i="10" s="1"/>
  <c r="C54" i="10" s="1"/>
  <c r="C43" i="4"/>
  <c r="C49" i="4" s="1"/>
  <c r="C42" i="7"/>
  <c r="C48" i="7" s="1"/>
  <c r="D48" i="7" s="1"/>
  <c r="B63" i="17"/>
  <c r="B61" i="17"/>
  <c r="R19" i="1"/>
  <c r="C40" i="15"/>
  <c r="C46" i="15" s="1"/>
  <c r="C52" i="15" s="1"/>
  <c r="E52" i="20"/>
  <c r="D54" i="20"/>
  <c r="D47" i="27"/>
  <c r="D53" i="27" s="1"/>
  <c r="C53" i="27"/>
  <c r="B55" i="20"/>
  <c r="Q22" i="1" s="1"/>
  <c r="C52" i="20"/>
  <c r="C53" i="20" s="1"/>
  <c r="C59" i="20"/>
  <c r="S22" i="1" s="1"/>
  <c r="B55" i="17"/>
  <c r="B54" i="17"/>
  <c r="O19" i="1" s="1"/>
  <c r="B62" i="6"/>
  <c r="B60" i="6"/>
  <c r="R8" i="1"/>
  <c r="C39" i="36"/>
  <c r="B62" i="22"/>
  <c r="B64" i="22"/>
  <c r="R24" i="1"/>
  <c r="C54" i="20"/>
  <c r="C61" i="38"/>
  <c r="T40" i="1" s="1"/>
  <c r="S40" i="1"/>
  <c r="C62" i="20"/>
  <c r="C46" i="13"/>
  <c r="C41" i="30"/>
  <c r="C46" i="29"/>
  <c r="B61" i="28"/>
  <c r="B63" i="28"/>
  <c r="R30" i="1"/>
  <c r="C45" i="37"/>
  <c r="C52" i="41"/>
  <c r="C53" i="41"/>
  <c r="D52" i="41"/>
  <c r="P43" i="1" s="1"/>
  <c r="D53" i="41"/>
  <c r="B62" i="15"/>
  <c r="B60" i="15"/>
  <c r="R17" i="1"/>
  <c r="C40" i="12"/>
  <c r="C53" i="33"/>
  <c r="C54" i="33"/>
  <c r="C41" i="32"/>
  <c r="C42" i="19"/>
  <c r="B62" i="31"/>
  <c r="B60" i="31"/>
  <c r="R33" i="1"/>
  <c r="C42" i="23"/>
  <c r="B63" i="4"/>
  <c r="B65" i="4"/>
  <c r="R6" i="1"/>
  <c r="D53" i="33"/>
  <c r="P35" i="1" s="1"/>
  <c r="C59" i="33"/>
  <c r="D54" i="33"/>
  <c r="C53" i="17"/>
  <c r="C41" i="34"/>
  <c r="C52" i="39"/>
  <c r="D46" i="39"/>
  <c r="D52" i="39" s="1"/>
  <c r="C59" i="41"/>
  <c r="T43" i="1" s="1"/>
  <c r="B65" i="41"/>
  <c r="B66" i="41" s="1"/>
  <c r="C61" i="41"/>
  <c r="S43" i="1"/>
  <c r="B57" i="3"/>
  <c r="B56" i="3"/>
  <c r="O5" i="1" s="1"/>
  <c r="C46" i="35"/>
  <c r="C41" i="18"/>
  <c r="C46" i="31"/>
  <c r="C42" i="16"/>
  <c r="C41" i="24"/>
  <c r="C41" i="11"/>
  <c r="B62" i="3"/>
  <c r="D46" i="40"/>
  <c r="D52" i="40" s="1"/>
  <c r="C59" i="40" s="1"/>
  <c r="D46" i="9"/>
  <c r="D52" i="9" s="1"/>
  <c r="C52" i="9"/>
  <c r="D49" i="3"/>
  <c r="D55" i="3" s="1"/>
  <c r="E55" i="3" s="1"/>
  <c r="C55" i="3"/>
  <c r="D45" i="26"/>
  <c r="C51" i="26"/>
  <c r="C40" i="14"/>
  <c r="C42" i="25"/>
  <c r="C55" i="21" l="1"/>
  <c r="C54" i="22"/>
  <c r="C54" i="5"/>
  <c r="C63" i="21"/>
  <c r="C60" i="20"/>
  <c r="T22" i="1" s="1"/>
  <c r="S23" i="1"/>
  <c r="B66" i="20"/>
  <c r="B67" i="20" s="1"/>
  <c r="D54" i="7"/>
  <c r="C61" i="7" s="1"/>
  <c r="E48" i="7"/>
  <c r="C54" i="7"/>
  <c r="C55" i="7" s="1"/>
  <c r="C52" i="8"/>
  <c r="D46" i="8"/>
  <c r="D52" i="8" s="1"/>
  <c r="C55" i="38"/>
  <c r="B67" i="21"/>
  <c r="B68" i="21" s="1"/>
  <c r="D54" i="28"/>
  <c r="P30" i="1" s="1"/>
  <c r="E53" i="28"/>
  <c r="D55" i="28"/>
  <c r="C60" i="28"/>
  <c r="B56" i="28"/>
  <c r="Q30" i="1" s="1"/>
  <c r="C52" i="6"/>
  <c r="D48" i="10"/>
  <c r="E48" i="10" s="1"/>
  <c r="C54" i="28"/>
  <c r="C55" i="28"/>
  <c r="B67" i="38"/>
  <c r="B68" i="38" s="1"/>
  <c r="B70" i="38" s="1"/>
  <c r="O44" i="1"/>
  <c r="D49" i="4"/>
  <c r="C55" i="4"/>
  <c r="C55" i="27"/>
  <c r="C54" i="27"/>
  <c r="D54" i="27"/>
  <c r="P29" i="1" s="1"/>
  <c r="D55" i="27"/>
  <c r="B56" i="27"/>
  <c r="Q29" i="1" s="1"/>
  <c r="E53" i="27"/>
  <c r="D46" i="15"/>
  <c r="C60" i="27"/>
  <c r="C64" i="22"/>
  <c r="B68" i="22"/>
  <c r="B69" i="22" s="1"/>
  <c r="C62" i="22"/>
  <c r="T24" i="1" s="1"/>
  <c r="S24" i="1"/>
  <c r="B66" i="40"/>
  <c r="B67" i="40" s="1"/>
  <c r="C62" i="40"/>
  <c r="S42" i="1"/>
  <c r="C60" i="40"/>
  <c r="T42" i="1" s="1"/>
  <c r="C64" i="5"/>
  <c r="C62" i="5"/>
  <c r="T7" i="1" s="1"/>
  <c r="B68" i="5"/>
  <c r="B69" i="5" s="1"/>
  <c r="S7" i="1"/>
  <c r="C53" i="15"/>
  <c r="C54" i="15"/>
  <c r="C53" i="39"/>
  <c r="C54" i="39"/>
  <c r="C47" i="34"/>
  <c r="D45" i="37"/>
  <c r="D51" i="37" s="1"/>
  <c r="C51" i="37"/>
  <c r="E54" i="7"/>
  <c r="B57" i="7"/>
  <c r="Q9" i="1" s="1"/>
  <c r="D56" i="7"/>
  <c r="B69" i="20"/>
  <c r="B68" i="20"/>
  <c r="D54" i="17"/>
  <c r="P19" i="1" s="1"/>
  <c r="B56" i="17"/>
  <c r="Q19" i="1" s="1"/>
  <c r="E53" i="17"/>
  <c r="D55" i="17"/>
  <c r="C54" i="9"/>
  <c r="C53" i="9"/>
  <c r="D56" i="3"/>
  <c r="P5" i="1" s="1"/>
  <c r="D57" i="3"/>
  <c r="C55" i="17"/>
  <c r="C54" i="17"/>
  <c r="C46" i="12"/>
  <c r="B63" i="3"/>
  <c r="B65" i="3"/>
  <c r="R5" i="1"/>
  <c r="C52" i="31"/>
  <c r="D46" i="31"/>
  <c r="D52" i="31" s="1"/>
  <c r="C62" i="3"/>
  <c r="C53" i="6"/>
  <c r="C54" i="6"/>
  <c r="D53" i="9"/>
  <c r="P11" i="1" s="1"/>
  <c r="E52" i="9"/>
  <c r="B55" i="9"/>
  <c r="Q11" i="1" s="1"/>
  <c r="D54" i="9"/>
  <c r="C47" i="18"/>
  <c r="D53" i="6"/>
  <c r="P8" i="1" s="1"/>
  <c r="D54" i="6"/>
  <c r="B55" i="6"/>
  <c r="Q8" i="1" s="1"/>
  <c r="E52" i="6"/>
  <c r="C59" i="6"/>
  <c r="C48" i="25"/>
  <c r="C56" i="22"/>
  <c r="C55" i="22"/>
  <c r="C47" i="11"/>
  <c r="C56" i="10"/>
  <c r="C55" i="10"/>
  <c r="C60" i="33"/>
  <c r="T35" i="1" s="1"/>
  <c r="C62" i="33"/>
  <c r="B66" i="33"/>
  <c r="B67" i="33" s="1"/>
  <c r="S35" i="1"/>
  <c r="C48" i="23"/>
  <c r="D46" i="29"/>
  <c r="D52" i="29" s="1"/>
  <c r="C52" i="29"/>
  <c r="C56" i="3"/>
  <c r="C57" i="3"/>
  <c r="B69" i="21"/>
  <c r="B70" i="21"/>
  <c r="D55" i="22"/>
  <c r="P24" i="1" s="1"/>
  <c r="B57" i="22"/>
  <c r="Q24" i="1" s="1"/>
  <c r="D56" i="22"/>
  <c r="E54" i="22"/>
  <c r="C47" i="24"/>
  <c r="C46" i="14"/>
  <c r="C55" i="5"/>
  <c r="C56" i="5"/>
  <c r="D46" i="35"/>
  <c r="D52" i="35" s="1"/>
  <c r="C52" i="35"/>
  <c r="C45" i="36"/>
  <c r="C54" i="40"/>
  <c r="C53" i="40"/>
  <c r="C59" i="9"/>
  <c r="C48" i="19"/>
  <c r="D46" i="13"/>
  <c r="C52" i="13"/>
  <c r="B68" i="41"/>
  <c r="B67" i="41"/>
  <c r="C47" i="30"/>
  <c r="C48" i="16"/>
  <c r="S9" i="1"/>
  <c r="B68" i="7"/>
  <c r="B69" i="7" s="1"/>
  <c r="C64" i="7"/>
  <c r="C62" i="7"/>
  <c r="T9" i="1" s="1"/>
  <c r="D55" i="5"/>
  <c r="P7" i="1" s="1"/>
  <c r="D56" i="5"/>
  <c r="E54" i="5"/>
  <c r="B57" i="5"/>
  <c r="Q7" i="1" s="1"/>
  <c r="C52" i="26"/>
  <c r="C53" i="26"/>
  <c r="E45" i="26"/>
  <c r="D51" i="26"/>
  <c r="D53" i="40"/>
  <c r="P42" i="1" s="1"/>
  <c r="D54" i="40"/>
  <c r="B58" i="3"/>
  <c r="Q5" i="1" s="1"/>
  <c r="D53" i="39"/>
  <c r="P41" i="1" s="1"/>
  <c r="C59" i="39"/>
  <c r="D54" i="39"/>
  <c r="C47" i="32"/>
  <c r="C60" i="17"/>
  <c r="B69" i="38" l="1"/>
  <c r="C56" i="7"/>
  <c r="D55" i="7"/>
  <c r="P9" i="1" s="1"/>
  <c r="B67" i="28"/>
  <c r="B68" i="28" s="1"/>
  <c r="C61" i="28"/>
  <c r="T30" i="1" s="1"/>
  <c r="C63" i="28"/>
  <c r="S30" i="1"/>
  <c r="D54" i="10"/>
  <c r="D56" i="10" s="1"/>
  <c r="E52" i="8"/>
  <c r="D53" i="8"/>
  <c r="P10" i="1" s="1"/>
  <c r="B55" i="8"/>
  <c r="Q10" i="1" s="1"/>
  <c r="C59" i="8"/>
  <c r="D54" i="8"/>
  <c r="C54" i="8"/>
  <c r="C53" i="8"/>
  <c r="D52" i="15"/>
  <c r="E52" i="15" s="1"/>
  <c r="E46" i="15"/>
  <c r="D55" i="4"/>
  <c r="B58" i="4" s="1"/>
  <c r="Q6" i="1" s="1"/>
  <c r="E49" i="4"/>
  <c r="C56" i="4"/>
  <c r="C57" i="4"/>
  <c r="C63" i="27"/>
  <c r="C61" i="27"/>
  <c r="T29" i="1" s="1"/>
  <c r="B67" i="27"/>
  <c r="B68" i="27" s="1"/>
  <c r="S29" i="1"/>
  <c r="B54" i="26"/>
  <c r="Q28" i="1" s="1"/>
  <c r="D52" i="26"/>
  <c r="P28" i="1" s="1"/>
  <c r="D53" i="26"/>
  <c r="E51" i="26"/>
  <c r="C58" i="26"/>
  <c r="D47" i="18"/>
  <c r="D53" i="18" s="1"/>
  <c r="C53" i="18"/>
  <c r="D48" i="23"/>
  <c r="D54" i="23" s="1"/>
  <c r="C54" i="23"/>
  <c r="B71" i="20"/>
  <c r="B72" i="20" s="1"/>
  <c r="V22" i="1" s="1"/>
  <c r="B70" i="20"/>
  <c r="B70" i="5"/>
  <c r="B71" i="5"/>
  <c r="C52" i="14"/>
  <c r="D46" i="14"/>
  <c r="D52" i="14" s="1"/>
  <c r="B69" i="33"/>
  <c r="B68" i="33"/>
  <c r="D47" i="24"/>
  <c r="C53" i="24"/>
  <c r="C60" i="6"/>
  <c r="T8" i="1" s="1"/>
  <c r="S8" i="1"/>
  <c r="C62" i="6"/>
  <c r="B66" i="6"/>
  <c r="B67" i="6" s="1"/>
  <c r="B70" i="41"/>
  <c r="B71" i="41" s="1"/>
  <c r="V43" i="1" s="1"/>
  <c r="B69" i="41"/>
  <c r="C54" i="35"/>
  <c r="C53" i="35"/>
  <c r="B69" i="3"/>
  <c r="B70" i="3" s="1"/>
  <c r="C65" i="3"/>
  <c r="S5" i="1"/>
  <c r="C63" i="3"/>
  <c r="T5" i="1" s="1"/>
  <c r="C53" i="37"/>
  <c r="C52" i="37"/>
  <c r="B72" i="21"/>
  <c r="B73" i="21" s="1"/>
  <c r="V23" i="1" s="1"/>
  <c r="B71" i="21"/>
  <c r="D48" i="16"/>
  <c r="C54" i="16"/>
  <c r="D48" i="25"/>
  <c r="D54" i="25" s="1"/>
  <c r="C54" i="25"/>
  <c r="D45" i="36"/>
  <c r="D51" i="36" s="1"/>
  <c r="C51" i="36"/>
  <c r="D47" i="32"/>
  <c r="D54" i="32" s="1"/>
  <c r="C54" i="32"/>
  <c r="D47" i="30"/>
  <c r="D53" i="30" s="1"/>
  <c r="C53" i="30"/>
  <c r="C54" i="13"/>
  <c r="C53" i="13"/>
  <c r="D53" i="35"/>
  <c r="P37" i="1" s="1"/>
  <c r="D54" i="35"/>
  <c r="C59" i="35"/>
  <c r="D53" i="31"/>
  <c r="P33" i="1" s="1"/>
  <c r="D54" i="31"/>
  <c r="E52" i="31"/>
  <c r="B55" i="31"/>
  <c r="Q33" i="1" s="1"/>
  <c r="C59" i="31"/>
  <c r="D52" i="37"/>
  <c r="P39" i="1" s="1"/>
  <c r="D53" i="37"/>
  <c r="C58" i="37"/>
  <c r="D46" i="12"/>
  <c r="C52" i="12"/>
  <c r="E46" i="13"/>
  <c r="D52" i="13"/>
  <c r="B70" i="22"/>
  <c r="B71" i="22"/>
  <c r="C62" i="9"/>
  <c r="B66" i="9"/>
  <c r="B67" i="9" s="1"/>
  <c r="C60" i="9"/>
  <c r="T11" i="1" s="1"/>
  <c r="S11" i="1"/>
  <c r="B67" i="17"/>
  <c r="B68" i="17" s="1"/>
  <c r="C61" i="17"/>
  <c r="T19" i="1" s="1"/>
  <c r="S19" i="1"/>
  <c r="C63" i="17"/>
  <c r="C62" i="39"/>
  <c r="B66" i="39"/>
  <c r="B67" i="39" s="1"/>
  <c r="C60" i="39"/>
  <c r="T41" i="1" s="1"/>
  <c r="S41" i="1"/>
  <c r="C53" i="31"/>
  <c r="C54" i="31"/>
  <c r="C53" i="29"/>
  <c r="C54" i="29"/>
  <c r="D47" i="34"/>
  <c r="D53" i="34" s="1"/>
  <c r="C53" i="34"/>
  <c r="B72" i="38"/>
  <c r="B73" i="38" s="1"/>
  <c r="V40" i="1" s="1"/>
  <c r="B71" i="38"/>
  <c r="B71" i="7"/>
  <c r="B70" i="7"/>
  <c r="D48" i="19"/>
  <c r="C54" i="19"/>
  <c r="D53" i="29"/>
  <c r="P31" i="1" s="1"/>
  <c r="E52" i="29"/>
  <c r="B55" i="29"/>
  <c r="Q31" i="1" s="1"/>
  <c r="D54" i="29"/>
  <c r="C59" i="29"/>
  <c r="D47" i="11"/>
  <c r="D53" i="11" s="1"/>
  <c r="C53" i="11"/>
  <c r="B69" i="40"/>
  <c r="B68" i="40"/>
  <c r="C59" i="15" l="1"/>
  <c r="B66" i="15" s="1"/>
  <c r="B67" i="15" s="1"/>
  <c r="B68" i="15" s="1"/>
  <c r="B66" i="8"/>
  <c r="B67" i="8" s="1"/>
  <c r="C60" i="8"/>
  <c r="T10" i="1" s="1"/>
  <c r="S10" i="1"/>
  <c r="C62" i="8"/>
  <c r="C61" i="10"/>
  <c r="E54" i="10"/>
  <c r="D55" i="10"/>
  <c r="P12" i="1" s="1"/>
  <c r="B57" i="10"/>
  <c r="Q12" i="1" s="1"/>
  <c r="B69" i="28"/>
  <c r="B70" i="28"/>
  <c r="D53" i="15"/>
  <c r="P17" i="1" s="1"/>
  <c r="D54" i="15"/>
  <c r="B55" i="15"/>
  <c r="Q17" i="1" s="1"/>
  <c r="D57" i="4"/>
  <c r="D56" i="4"/>
  <c r="P6" i="1" s="1"/>
  <c r="C62" i="4"/>
  <c r="C63" i="4" s="1"/>
  <c r="T6" i="1" s="1"/>
  <c r="E55" i="4"/>
  <c r="D53" i="24"/>
  <c r="D54" i="24" s="1"/>
  <c r="P26" i="1" s="1"/>
  <c r="E47" i="24"/>
  <c r="D54" i="19"/>
  <c r="D55" i="19" s="1"/>
  <c r="P21" i="1" s="1"/>
  <c r="E48" i="19"/>
  <c r="D54" i="16"/>
  <c r="D55" i="16" s="1"/>
  <c r="P18" i="1" s="1"/>
  <c r="E48" i="16"/>
  <c r="C62" i="15"/>
  <c r="C60" i="15"/>
  <c r="T17" i="1" s="1"/>
  <c r="D52" i="12"/>
  <c r="D53" i="12" s="1"/>
  <c r="P14" i="1" s="1"/>
  <c r="E46" i="12"/>
  <c r="B69" i="27"/>
  <c r="B70" i="27"/>
  <c r="D54" i="11"/>
  <c r="P13" i="1" s="1"/>
  <c r="D55" i="11"/>
  <c r="B56" i="11"/>
  <c r="Q13" i="1" s="1"/>
  <c r="E53" i="11"/>
  <c r="C60" i="11"/>
  <c r="C55" i="19"/>
  <c r="C56" i="19"/>
  <c r="C56" i="16"/>
  <c r="C55" i="16"/>
  <c r="C62" i="29"/>
  <c r="C60" i="29"/>
  <c r="T31" i="1" s="1"/>
  <c r="B66" i="29"/>
  <c r="B67" i="29" s="1"/>
  <c r="S31" i="1"/>
  <c r="C59" i="37"/>
  <c r="T39" i="1" s="1"/>
  <c r="B65" i="37"/>
  <c r="B66" i="37" s="1"/>
  <c r="S39" i="1"/>
  <c r="C61" i="37"/>
  <c r="C56" i="23"/>
  <c r="C55" i="23"/>
  <c r="B69" i="9"/>
  <c r="B68" i="9"/>
  <c r="D55" i="23"/>
  <c r="P25" i="1" s="1"/>
  <c r="B57" i="23"/>
  <c r="Q25" i="1" s="1"/>
  <c r="E54" i="23"/>
  <c r="D56" i="23"/>
  <c r="C61" i="23"/>
  <c r="B73" i="7"/>
  <c r="B74" i="7" s="1"/>
  <c r="V9" i="1" s="1"/>
  <c r="B72" i="7"/>
  <c r="D54" i="30"/>
  <c r="P32" i="1" s="1"/>
  <c r="B56" i="30"/>
  <c r="Q32" i="1" s="1"/>
  <c r="E53" i="30"/>
  <c r="D55" i="30"/>
  <c r="C60" i="30"/>
  <c r="B68" i="6"/>
  <c r="B69" i="6"/>
  <c r="C54" i="18"/>
  <c r="C55" i="18"/>
  <c r="C60" i="31"/>
  <c r="T33" i="1" s="1"/>
  <c r="B66" i="31"/>
  <c r="B67" i="31" s="1"/>
  <c r="S33" i="1"/>
  <c r="C62" i="31"/>
  <c r="D54" i="18"/>
  <c r="P20" i="1" s="1"/>
  <c r="D55" i="18"/>
  <c r="C60" i="18"/>
  <c r="C59" i="26"/>
  <c r="T28" i="1" s="1"/>
  <c r="C61" i="26"/>
  <c r="B65" i="26"/>
  <c r="B66" i="26" s="1"/>
  <c r="S28" i="1"/>
  <c r="C54" i="34"/>
  <c r="C55" i="34"/>
  <c r="B73" i="22"/>
  <c r="B74" i="22" s="1"/>
  <c r="V24" i="1" s="1"/>
  <c r="B72" i="22"/>
  <c r="C53" i="36"/>
  <c r="C52" i="36"/>
  <c r="C54" i="14"/>
  <c r="C53" i="14"/>
  <c r="B70" i="40"/>
  <c r="B71" i="40"/>
  <c r="B72" i="40" s="1"/>
  <c r="V42" i="1" s="1"/>
  <c r="B69" i="17"/>
  <c r="B70" i="17"/>
  <c r="C54" i="30"/>
  <c r="C55" i="30"/>
  <c r="B71" i="33"/>
  <c r="B72" i="33" s="1"/>
  <c r="V35" i="1" s="1"/>
  <c r="B70" i="33"/>
  <c r="D53" i="14"/>
  <c r="P16" i="1" s="1"/>
  <c r="D54" i="14"/>
  <c r="E52" i="14"/>
  <c r="B55" i="14"/>
  <c r="Q16" i="1" s="1"/>
  <c r="C59" i="14"/>
  <c r="D52" i="36"/>
  <c r="P38" i="1" s="1"/>
  <c r="D53" i="36"/>
  <c r="C58" i="36"/>
  <c r="B72" i="3"/>
  <c r="B71" i="3"/>
  <c r="B69" i="39"/>
  <c r="B68" i="39"/>
  <c r="D55" i="32"/>
  <c r="P34" i="1" s="1"/>
  <c r="B57" i="32"/>
  <c r="Q34" i="1" s="1"/>
  <c r="E54" i="32"/>
  <c r="D56" i="32"/>
  <c r="C61" i="32"/>
  <c r="D54" i="34"/>
  <c r="P36" i="1" s="1"/>
  <c r="D55" i="34"/>
  <c r="C60" i="34"/>
  <c r="D53" i="13"/>
  <c r="P15" i="1" s="1"/>
  <c r="E52" i="13"/>
  <c r="D54" i="13"/>
  <c r="B55" i="13"/>
  <c r="Q15" i="1" s="1"/>
  <c r="C59" i="13"/>
  <c r="C55" i="25"/>
  <c r="C56" i="25"/>
  <c r="C55" i="11"/>
  <c r="C54" i="11"/>
  <c r="C53" i="12"/>
  <c r="C54" i="12"/>
  <c r="C56" i="32"/>
  <c r="C55" i="32"/>
  <c r="C62" i="35"/>
  <c r="C60" i="35"/>
  <c r="T37" i="1" s="1"/>
  <c r="B66" i="35"/>
  <c r="B67" i="35" s="1"/>
  <c r="S37" i="1"/>
  <c r="D55" i="25"/>
  <c r="P27" i="1" s="1"/>
  <c r="E54" i="25"/>
  <c r="B57" i="25"/>
  <c r="Q27" i="1" s="1"/>
  <c r="D56" i="25"/>
  <c r="C61" i="25"/>
  <c r="C55" i="24"/>
  <c r="C54" i="24"/>
  <c r="B72" i="5"/>
  <c r="B73" i="5"/>
  <c r="B74" i="5" s="1"/>
  <c r="V7" i="1" s="1"/>
  <c r="B69" i="15" l="1"/>
  <c r="B70" i="15" s="1"/>
  <c r="S17" i="1"/>
  <c r="C64" i="10"/>
  <c r="S12" i="1"/>
  <c r="B68" i="10"/>
  <c r="B69" i="10" s="1"/>
  <c r="C62" i="10"/>
  <c r="T12" i="1" s="1"/>
  <c r="B72" i="28"/>
  <c r="B73" i="28" s="1"/>
  <c r="V30" i="1" s="1"/>
  <c r="B71" i="28"/>
  <c r="B68" i="8"/>
  <c r="B69" i="8"/>
  <c r="C59" i="12"/>
  <c r="C62" i="12" s="1"/>
  <c r="D54" i="12"/>
  <c r="B55" i="12"/>
  <c r="Q14" i="1" s="1"/>
  <c r="S6" i="1"/>
  <c r="B69" i="4"/>
  <c r="B70" i="4" s="1"/>
  <c r="B72" i="4" s="1"/>
  <c r="C65" i="4"/>
  <c r="C61" i="19"/>
  <c r="C64" i="19" s="1"/>
  <c r="D56" i="19"/>
  <c r="E54" i="19"/>
  <c r="B57" i="19"/>
  <c r="Q21" i="1" s="1"/>
  <c r="C60" i="24"/>
  <c r="S26" i="1" s="1"/>
  <c r="E53" i="24"/>
  <c r="D55" i="24"/>
  <c r="B56" i="24"/>
  <c r="Q26" i="1" s="1"/>
  <c r="D56" i="16"/>
  <c r="C61" i="16"/>
  <c r="B68" i="16" s="1"/>
  <c r="B69" i="16" s="1"/>
  <c r="E54" i="16"/>
  <c r="B57" i="16"/>
  <c r="Q18" i="1" s="1"/>
  <c r="E52" i="12"/>
  <c r="B71" i="27"/>
  <c r="B72" i="27"/>
  <c r="B73" i="27" s="1"/>
  <c r="V29" i="1" s="1"/>
  <c r="C64" i="25"/>
  <c r="C62" i="25"/>
  <c r="T27" i="1" s="1"/>
  <c r="S27" i="1"/>
  <c r="B68" i="25"/>
  <c r="B69" i="25" s="1"/>
  <c r="B67" i="34"/>
  <c r="B68" i="34" s="1"/>
  <c r="C63" i="34"/>
  <c r="C61" i="34"/>
  <c r="T36" i="1" s="1"/>
  <c r="S36" i="1"/>
  <c r="B71" i="39"/>
  <c r="B72" i="39" s="1"/>
  <c r="V41" i="1" s="1"/>
  <c r="B70" i="39"/>
  <c r="B68" i="23"/>
  <c r="B69" i="23" s="1"/>
  <c r="C62" i="23"/>
  <c r="T25" i="1" s="1"/>
  <c r="S25" i="1"/>
  <c r="C64" i="23"/>
  <c r="C63" i="18"/>
  <c r="B67" i="18"/>
  <c r="B68" i="18" s="1"/>
  <c r="C61" i="18"/>
  <c r="T20" i="1" s="1"/>
  <c r="S20" i="1"/>
  <c r="B71" i="6"/>
  <c r="B72" i="6" s="1"/>
  <c r="V8" i="1" s="1"/>
  <c r="B70" i="6"/>
  <c r="P44" i="1"/>
  <c r="B67" i="37"/>
  <c r="B68" i="37"/>
  <c r="B74" i="3"/>
  <c r="B75" i="3" s="1"/>
  <c r="V5" i="1" s="1"/>
  <c r="B73" i="3"/>
  <c r="B68" i="32"/>
  <c r="B69" i="32" s="1"/>
  <c r="C64" i="32"/>
  <c r="C62" i="32"/>
  <c r="T34" i="1" s="1"/>
  <c r="S34" i="1"/>
  <c r="C59" i="36"/>
  <c r="T38" i="1" s="1"/>
  <c r="B65" i="36"/>
  <c r="B66" i="36" s="1"/>
  <c r="C61" i="36"/>
  <c r="S38" i="1"/>
  <c r="B71" i="17"/>
  <c r="B72" i="17"/>
  <c r="B73" i="17" s="1"/>
  <c r="V19" i="1" s="1"/>
  <c r="B69" i="31"/>
  <c r="B68" i="31"/>
  <c r="B67" i="30"/>
  <c r="B68" i="30" s="1"/>
  <c r="C63" i="30"/>
  <c r="C61" i="30"/>
  <c r="T32" i="1" s="1"/>
  <c r="S32" i="1"/>
  <c r="B69" i="29"/>
  <c r="B68" i="29"/>
  <c r="B69" i="35"/>
  <c r="B68" i="35"/>
  <c r="B68" i="26"/>
  <c r="B67" i="26"/>
  <c r="B70" i="9"/>
  <c r="B71" i="9"/>
  <c r="B72" i="9" s="1"/>
  <c r="V11" i="1" s="1"/>
  <c r="B71" i="15"/>
  <c r="B72" i="15" s="1"/>
  <c r="V17" i="1" s="1"/>
  <c r="C61" i="11"/>
  <c r="T13" i="1" s="1"/>
  <c r="B67" i="11"/>
  <c r="B68" i="11" s="1"/>
  <c r="S13" i="1"/>
  <c r="C63" i="11"/>
  <c r="B66" i="13"/>
  <c r="B67" i="13" s="1"/>
  <c r="C62" i="13"/>
  <c r="S15" i="1"/>
  <c r="C60" i="13"/>
  <c r="T15" i="1" s="1"/>
  <c r="C60" i="14"/>
  <c r="T16" i="1" s="1"/>
  <c r="C62" i="14"/>
  <c r="B66" i="14"/>
  <c r="B67" i="14" s="1"/>
  <c r="S16" i="1"/>
  <c r="S14" i="1" l="1"/>
  <c r="C60" i="12"/>
  <c r="T14" i="1" s="1"/>
  <c r="B70" i="8"/>
  <c r="B71" i="8"/>
  <c r="B72" i="8" s="1"/>
  <c r="V10" i="1" s="1"/>
  <c r="B71" i="10"/>
  <c r="B70" i="10"/>
  <c r="Q44" i="1"/>
  <c r="C62" i="19"/>
  <c r="T21" i="1" s="1"/>
  <c r="B68" i="19"/>
  <c r="B69" i="19" s="1"/>
  <c r="B71" i="19" s="1"/>
  <c r="S21" i="1"/>
  <c r="B66" i="12"/>
  <c r="B67" i="12" s="1"/>
  <c r="B69" i="12" s="1"/>
  <c r="B71" i="4"/>
  <c r="C62" i="16"/>
  <c r="T18" i="1" s="1"/>
  <c r="S18" i="1"/>
  <c r="C64" i="16"/>
  <c r="C61" i="24"/>
  <c r="T26" i="1" s="1"/>
  <c r="C63" i="24"/>
  <c r="B67" i="24"/>
  <c r="B68" i="24" s="1"/>
  <c r="B70" i="24" s="1"/>
  <c r="B73" i="4"/>
  <c r="B74" i="4"/>
  <c r="B69" i="30"/>
  <c r="B70" i="30"/>
  <c r="B67" i="36"/>
  <c r="B68" i="36"/>
  <c r="B69" i="18"/>
  <c r="B70" i="18"/>
  <c r="B69" i="34"/>
  <c r="B70" i="34"/>
  <c r="B71" i="16"/>
  <c r="B70" i="16"/>
  <c r="B69" i="26"/>
  <c r="B70" i="26"/>
  <c r="B71" i="26" s="1"/>
  <c r="V28" i="1" s="1"/>
  <c r="B71" i="25"/>
  <c r="B70" i="25"/>
  <c r="B71" i="35"/>
  <c r="B72" i="35" s="1"/>
  <c r="V37" i="1" s="1"/>
  <c r="B70" i="35"/>
  <c r="B70" i="32"/>
  <c r="B71" i="32"/>
  <c r="B68" i="14"/>
  <c r="B69" i="14"/>
  <c r="B71" i="31"/>
  <c r="B72" i="31" s="1"/>
  <c r="V33" i="1" s="1"/>
  <c r="B70" i="31"/>
  <c r="B71" i="23"/>
  <c r="B70" i="23"/>
  <c r="B71" i="29"/>
  <c r="B72" i="29" s="1"/>
  <c r="V31" i="1" s="1"/>
  <c r="B70" i="29"/>
  <c r="B69" i="13"/>
  <c r="B68" i="13"/>
  <c r="B70" i="11"/>
  <c r="B69" i="11"/>
  <c r="B70" i="37"/>
  <c r="B71" i="37" s="1"/>
  <c r="V39" i="1" s="1"/>
  <c r="B69" i="37"/>
  <c r="B72" i="10" l="1"/>
  <c r="B73" i="10"/>
  <c r="B74" i="10" s="1"/>
  <c r="V12" i="1" s="1"/>
  <c r="T44" i="1"/>
  <c r="B70" i="19"/>
  <c r="B68" i="12"/>
  <c r="B75" i="4"/>
  <c r="V6" i="1" s="1"/>
  <c r="B69" i="24"/>
  <c r="B71" i="12"/>
  <c r="B70" i="12"/>
  <c r="B71" i="13"/>
  <c r="B72" i="13" s="1"/>
  <c r="V15" i="1" s="1"/>
  <c r="B70" i="13"/>
  <c r="B72" i="18"/>
  <c r="B73" i="18" s="1"/>
  <c r="V20" i="1" s="1"/>
  <c r="B71" i="18"/>
  <c r="B71" i="34"/>
  <c r="B72" i="34"/>
  <c r="B73" i="34" s="1"/>
  <c r="V36" i="1" s="1"/>
  <c r="B73" i="32"/>
  <c r="B74" i="32" s="1"/>
  <c r="V34" i="1" s="1"/>
  <c r="B72" i="32"/>
  <c r="B72" i="19"/>
  <c r="B73" i="19"/>
  <c r="B72" i="24"/>
  <c r="B71" i="24"/>
  <c r="B73" i="25"/>
  <c r="B74" i="25" s="1"/>
  <c r="V27" i="1" s="1"/>
  <c r="B72" i="25"/>
  <c r="B73" i="23"/>
  <c r="B74" i="23" s="1"/>
  <c r="V25" i="1" s="1"/>
  <c r="B72" i="23"/>
  <c r="B70" i="36"/>
  <c r="B71" i="36" s="1"/>
  <c r="V38" i="1" s="1"/>
  <c r="B69" i="36"/>
  <c r="B70" i="14"/>
  <c r="B71" i="14"/>
  <c r="B72" i="14" s="1"/>
  <c r="V16" i="1" s="1"/>
  <c r="B72" i="30"/>
  <c r="B73" i="30" s="1"/>
  <c r="V32" i="1" s="1"/>
  <c r="B71" i="30"/>
  <c r="B72" i="11"/>
  <c r="B73" i="11" s="1"/>
  <c r="V13" i="1" s="1"/>
  <c r="B71" i="11"/>
  <c r="B72" i="16"/>
  <c r="B73" i="16"/>
  <c r="B74" i="16" s="1"/>
  <c r="V18" i="1" s="1"/>
  <c r="B72" i="12" l="1"/>
  <c r="V14" i="1" s="1"/>
  <c r="B74" i="19"/>
  <c r="V21" i="1" s="1"/>
  <c r="B73" i="24"/>
  <c r="V26" i="1" s="1"/>
</calcChain>
</file>

<file path=xl/sharedStrings.xml><?xml version="1.0" encoding="utf-8"?>
<sst xmlns="http://schemas.openxmlformats.org/spreadsheetml/2006/main" count="4524" uniqueCount="582">
  <si>
    <t>WESTSIDE MULTIFAMILY - AVAILABLE 10+ UNIT LISTINGS UNDER $11M (sorted by published cap rate, highest first)</t>
  </si>
  <si>
    <t>Sourced from LoopNet public listings 9/17/2026 (Santa Monica, Venice, Marina del Rey, West LA, Westwood, Brentwood, Palms, Mar Vista, Culver City, Pico-Robertson, Beverly Hills, West Hollywood, Pacific Palisades) plus LAAA OM extractions where on file. Each row links to its own setup tab. Expense figures are formulas from the deal tabs; edit Assumptions to re-run everything.</t>
  </si>
  <si>
    <t>#</t>
  </si>
  <si>
    <t>Address</t>
  </si>
  <si>
    <t>City</t>
  </si>
  <si>
    <t>Zip</t>
  </si>
  <si>
    <t>Submarket</t>
  </si>
  <si>
    <t>Units</t>
  </si>
  <si>
    <t>Year built</t>
  </si>
  <si>
    <t>Bldg SF</t>
  </si>
  <si>
    <t>Lot SF</t>
  </si>
  <si>
    <t>Asking price</t>
  </si>
  <si>
    <t>$ / unit</t>
  </si>
  <si>
    <t>$ / SF</t>
  </si>
  <si>
    <t>Published cap</t>
  </si>
  <si>
    <t>Published GRM</t>
  </si>
  <si>
    <t>OM expenses / unit</t>
  </si>
  <si>
    <t>LAAA expenses / unit</t>
  </si>
  <si>
    <t>OM expense test</t>
  </si>
  <si>
    <t>OM NOI (recomputed)</t>
  </si>
  <si>
    <t>LAAA NOI</t>
  </si>
  <si>
    <t>LAAA cap</t>
  </si>
  <si>
    <t>LAAA GRM</t>
  </si>
  <si>
    <t>Cash-on-cash (LAAA)</t>
  </si>
  <si>
    <t>Occupancy</t>
  </si>
  <si>
    <t>Listing broker</t>
  </si>
  <si>
    <t>On market since</t>
  </si>
  <si>
    <t>Last updated</t>
  </si>
  <si>
    <t>Rent basis on tab</t>
  </si>
  <si>
    <t>Notes</t>
  </si>
  <si>
    <t>LoopNet link</t>
  </si>
  <si>
    <t>1129 Lincoln Blvd</t>
  </si>
  <si>
    <t>Santa Monica</t>
  </si>
  <si>
    <t>90403</t>
  </si>
  <si>
    <t>100%</t>
  </si>
  <si>
    <t>Stephen Lampe</t>
  </si>
  <si>
    <t>3/9/2026</t>
  </si>
  <si>
    <t>8/18/2026</t>
  </si>
  <si>
    <t>LoopNet published avg rent by unit type</t>
  </si>
  <si>
    <t>LoopNet</t>
  </si>
  <si>
    <t>2001 Penmar Ave</t>
  </si>
  <si>
    <t>Venice</t>
  </si>
  <si>
    <t>90291</t>
  </si>
  <si>
    <t>Jonathan Taksa</t>
  </si>
  <si>
    <t>9/15/2026</t>
  </si>
  <si>
    <t>Allocated from published GRM (price / GRM) using LAAA bed weights</t>
  </si>
  <si>
    <t>New listing 9/15/26, remodeled</t>
  </si>
  <si>
    <t>947-953 11th St (Voss Apartments)</t>
  </si>
  <si>
    <t>80%</t>
  </si>
  <si>
    <t>Eli Appel</t>
  </si>
  <si>
    <t>9/4/2026</t>
  </si>
  <si>
    <t>9/14/2026</t>
  </si>
  <si>
    <t>80% occupied per LoopNet</t>
  </si>
  <si>
    <t>1811 Parnell Ave</t>
  </si>
  <si>
    <t>Los Angeles</t>
  </si>
  <si>
    <t>90025</t>
  </si>
  <si>
    <t>West LA / Sawtelle</t>
  </si>
  <si>
    <t>Francyne Lambert, Carl Lambert</t>
  </si>
  <si>
    <t>8/21/2026</t>
  </si>
  <si>
    <t>8/24/2026</t>
  </si>
  <si>
    <t>2619 S Sepulveda Blvd</t>
  </si>
  <si>
    <t>90064</t>
  </si>
  <si>
    <t>West LA / Rancho Park</t>
  </si>
  <si>
    <t>97%</t>
  </si>
  <si>
    <t>5/27/2026</t>
  </si>
  <si>
    <t>9/11/2026</t>
  </si>
  <si>
    <t>$325K reduction</t>
  </si>
  <si>
    <t>2015-2021 Chariton St</t>
  </si>
  <si>
    <t>90034</t>
  </si>
  <si>
    <t>Palms</t>
  </si>
  <si>
    <t>Raymond A. Rodriguez IV, Matt Freedman</t>
  </si>
  <si>
    <t>6/17/2026</t>
  </si>
  <si>
    <t>Two adjacent parcels; 10 of 12 are 3-bed</t>
  </si>
  <si>
    <t>11825 National Blvd</t>
  </si>
  <si>
    <t>9/9/2026</t>
  </si>
  <si>
    <t>Reduced</t>
  </si>
  <si>
    <t>1811 S Bentley Ave (Brazilia Apts)</t>
  </si>
  <si>
    <t>Jake Glaser</t>
  </si>
  <si>
    <t>8/25/2026</t>
  </si>
  <si>
    <t>9/16/2026</t>
  </si>
  <si>
    <t>3602 Keystone Ave</t>
  </si>
  <si>
    <t>Peter James, Will James</t>
  </si>
  <si>
    <t>8/13/2026</t>
  </si>
  <si>
    <t>9/8/2026</t>
  </si>
  <si>
    <t>80% occupied</t>
  </si>
  <si>
    <t>2626 Cloverfield Blvd</t>
  </si>
  <si>
    <t>90405</t>
  </si>
  <si>
    <t>Steve Bogoyevac, David O'Keefe</t>
  </si>
  <si>
    <t>4/8/2026</t>
  </si>
  <si>
    <t>440 Raymond Ave</t>
  </si>
  <si>
    <t>95%</t>
  </si>
  <si>
    <t>Benjamin Hsiang, Don Favia</t>
  </si>
  <si>
    <t>6/16/2026</t>
  </si>
  <si>
    <t>8/14/2026</t>
  </si>
  <si>
    <t>1429 Havenhurst Dr</t>
  </si>
  <si>
    <t>West Hollywood</t>
  </si>
  <si>
    <t>90046</t>
  </si>
  <si>
    <t>Dana Brody</t>
  </si>
  <si>
    <t>3/25/2026</t>
  </si>
  <si>
    <t>9/17/2026</t>
  </si>
  <si>
    <t>1524 Granville Ave</t>
  </si>
  <si>
    <t>90%</t>
  </si>
  <si>
    <t>1988 build, RSO exempt</t>
  </si>
  <si>
    <t>1041 S Corning St</t>
  </si>
  <si>
    <t>90035</t>
  </si>
  <si>
    <t>Pico-Robertson / Beverlywood</t>
  </si>
  <si>
    <t>Neema Ahadian, Jeffrey Estrada</t>
  </si>
  <si>
    <t>7/28/2026</t>
  </si>
  <si>
    <t>8/26/2026</t>
  </si>
  <si>
    <t>UNDER CONTRACT per Filip 9/17/26 (confirm which Corning listing). 15 units plus one non-conforming unit per listing</t>
  </si>
  <si>
    <t>20 Brooks Ave</t>
  </si>
  <si>
    <t>Kitty Wallace</t>
  </si>
  <si>
    <t>8/27/2025</t>
  </si>
  <si>
    <t>9/3/2026</t>
  </si>
  <si>
    <t>GRM 9.12 published</t>
  </si>
  <si>
    <t>3827 Tilden Ave (The Tilden)</t>
  </si>
  <si>
    <t>Culver City</t>
  </si>
  <si>
    <t>90232</t>
  </si>
  <si>
    <t>Adam Peterson, Andrew Long</t>
  </si>
  <si>
    <t>2/9/2026</t>
  </si>
  <si>
    <t>ESTIMATED (no rents, GRM or cap published)</t>
  </si>
  <si>
    <t>Part of a portfolio sale; GRM not published, rents estimated</t>
  </si>
  <si>
    <t>900 N Orange Grove Ave</t>
  </si>
  <si>
    <t>Jordan Asheghian, Tony Azzi</t>
  </si>
  <si>
    <t>8/27/2026</t>
  </si>
  <si>
    <t>8/31/2026</t>
  </si>
  <si>
    <t>First sale in 38 years</t>
  </si>
  <si>
    <t>11401 Washington Pl</t>
  </si>
  <si>
    <t>90066</t>
  </si>
  <si>
    <t>Mar Vista</t>
  </si>
  <si>
    <t>Jonathan Nikfarjam, Allen Gholian</t>
  </si>
  <si>
    <t>6/24/2026</t>
  </si>
  <si>
    <t>7526 Fountain Ave</t>
  </si>
  <si>
    <t>Mike Hanassab, Steven Goldstein</t>
  </si>
  <si>
    <t>9/1/2026</t>
  </si>
  <si>
    <t>1942 Euclid St</t>
  </si>
  <si>
    <t>90404</t>
  </si>
  <si>
    <t>8/29/2025</t>
  </si>
  <si>
    <t>3575-3595 S Sepulveda Blvd</t>
  </si>
  <si>
    <t>96%</t>
  </si>
  <si>
    <t>Dannie Cavanaugh</t>
  </si>
  <si>
    <t>4/13/2026</t>
  </si>
  <si>
    <t>Two separate APNs, TOC Tier 2</t>
  </si>
  <si>
    <t>222-228 Idaho Ave</t>
  </si>
  <si>
    <t>Warren Berzack</t>
  </si>
  <si>
    <t>Two parcels 222 &amp; 228 Idaho</t>
  </si>
  <si>
    <t>8468 Fountain Ave</t>
  </si>
  <si>
    <t>90069</t>
  </si>
  <si>
    <t>Michael Kamara</t>
  </si>
  <si>
    <t>7/16/2026</t>
  </si>
  <si>
    <t>1217 9th St</t>
  </si>
  <si>
    <t>90401</t>
  </si>
  <si>
    <t>77%</t>
  </si>
  <si>
    <t>Kelly Morgan</t>
  </si>
  <si>
    <t>5/22/2026</t>
  </si>
  <si>
    <t>LoopNet shows 13 studio units; assessor/DB shows 10 units. Verify unit count</t>
  </si>
  <si>
    <t>1256 S Westgate Ave</t>
  </si>
  <si>
    <t>5/28/2026</t>
  </si>
  <si>
    <t>8/12/2026</t>
  </si>
  <si>
    <t>3410 Club Dr</t>
  </si>
  <si>
    <t>Linda Light, Taylor Light</t>
  </si>
  <si>
    <t>9/10/2026</t>
  </si>
  <si>
    <t>New listing 9/10/26</t>
  </si>
  <si>
    <t>1050 12th St</t>
  </si>
  <si>
    <t>Raymond Dominguez</t>
  </si>
  <si>
    <t>6/19/2025</t>
  </si>
  <si>
    <t>7/29/2026</t>
  </si>
  <si>
    <t>1307 15th St</t>
  </si>
  <si>
    <t>91%</t>
  </si>
  <si>
    <t>William Dawson</t>
  </si>
  <si>
    <t>6/3/2025</t>
  </si>
  <si>
    <t>3750 Midvale Ave</t>
  </si>
  <si>
    <t>Woody Stahl, Brett Lyon</t>
  </si>
  <si>
    <t>New listing 9/10/26, long-term family ownership</t>
  </si>
  <si>
    <t>823 5th St</t>
  </si>
  <si>
    <t>1/7/2026</t>
  </si>
  <si>
    <t>1269 Havenhurst Dr (Casa Julieta)</t>
  </si>
  <si>
    <t>Mason Canter</t>
  </si>
  <si>
    <t>7/15/2026</t>
  </si>
  <si>
    <t>1235-1241 S Beverly Glen Blvd</t>
  </si>
  <si>
    <t>90024</t>
  </si>
  <si>
    <t>Westwood</t>
  </si>
  <si>
    <t>50%</t>
  </si>
  <si>
    <t>Greg Blake, Jeffrey Golden</t>
  </si>
  <si>
    <t>7/22/2026</t>
  </si>
  <si>
    <t>8/28/2026</t>
  </si>
  <si>
    <t>50% occupied; cap 3.12% published</t>
  </si>
  <si>
    <t>120 Westminster Ave</t>
  </si>
  <si>
    <t>9/24/2025</t>
  </si>
  <si>
    <t>No cap/GRM published; rents estimated</t>
  </si>
  <si>
    <t>30 Dudley Ave</t>
  </si>
  <si>
    <t>UNPRICED. 18 studios, 300 ft from sand</t>
  </si>
  <si>
    <t>1814 Federal Ave</t>
  </si>
  <si>
    <t>Kamran Paydar, Kadie Presley Wilson</t>
  </si>
  <si>
    <t>10/7/2025</t>
  </si>
  <si>
    <t>UNPRICED. 2024 construction, 12 units</t>
  </si>
  <si>
    <t>Beverly Hills double lot (18 units, 2 bldgs)</t>
  </si>
  <si>
    <t>Beverly Hills</t>
  </si>
  <si>
    <t>90211</t>
  </si>
  <si>
    <t>Adrienne Barr, Nancy Badzey</t>
  </si>
  <si>
    <t>6/30/2026</t>
  </si>
  <si>
    <t>Address not published on LoopNet; 15,751 SF combined lot; 6 of 10 units in one bldg delivered vacant. No financials published</t>
  </si>
  <si>
    <t>337 N Palm Dr</t>
  </si>
  <si>
    <t>90210</t>
  </si>
  <si>
    <t>6/29/2026</t>
  </si>
  <si>
    <t>7550 Fountain Ave</t>
  </si>
  <si>
    <t>Yar Meshkaty</t>
  </si>
  <si>
    <t>2/18/2026</t>
  </si>
  <si>
    <t>943 Hancock Ave</t>
  </si>
  <si>
    <t>60%</t>
  </si>
  <si>
    <t>4/25/2025</t>
  </si>
  <si>
    <t>UNPRICED. 60% occupied, value-add / redevelopment</t>
  </si>
  <si>
    <t>TOTAL / AVERAGE</t>
  </si>
  <si>
    <t>NOT INCLUDED / VERIFY STATUS</t>
  </si>
  <si>
    <t>12314 &amp; 12320 Washington Pl (LAAA listing, two fourplexes = 8 units) - under 10 units</t>
  </si>
  <si>
    <t>1433 S Bentley Ave &amp; 11061 Ohio Ave (Eli Appel, $4.15M) - redevelopment assemblage, under 10 units</t>
  </si>
  <si>
    <t>8420-8428 Gulana Ave, Playa del Rey (William Dawson, $3.85M, 2 bldgs, 7,323 SF) - unit count not published, likely under 10</t>
  </si>
  <si>
    <t>16321 Pacific Coast Hwy (CBRE / M&amp;M, 170 spaces) - mobile home park, not apartments</t>
  </si>
  <si>
    <t>LAAA July OM intake still shows these Santa Monica deals as active but they are NOT on LoopNet as of 9/17/26 (sold, in escrow or pulled - verify): 1042 6th St (16u, $4.45M), 1114 6th St (15u, $8.5M), 1137 11th St (11u, $4.5M), 1323 11th St (10u, $3.75M), 1507 12th St (13u, unpriced)</t>
  </si>
  <si>
    <t>UNDER CONTRACT per Filip 9/17/26 and therefore not surveyed here: Empire, Westholm. Corning (1041 and/or 1138 S Corning, both listed above) is also under contract.</t>
  </si>
  <si>
    <t>Removed per Filip 9/17/26: 1421 &amp; 1427 Barry Ave (co-living), 1005-1015 N Croft, 2338 Ocean Park Blvd, and every listing priced over $11M (519-525 Santa Monica Blvd, 537 San Vicente, 1400 Venice Blvd, 1946 Overland, 3675 Dunn, 9848 Tabor, 152 S Peck, 1138 S Corning).</t>
  </si>
  <si>
    <t>Scope: Hollywood, Mid-City, Miracle Mile and Hancock Park listings were excluded as not Westside. Add them if wanted.</t>
  </si>
  <si>
    <t>Source limits: LoopNet financial summaries are gated behind login, so for 46 of 50 deals the OM expense figure is the TOTAL implied by the published cap and GRM, not line items. The 4 deals with LAAA OM extractions on file (823 5th, 440 Raymond, 1217 9th, 519-525 Santa Monica Blvd) carry full OM line items.</t>
  </si>
  <si>
    <t>LAAA UNDERWRITING BENCHMARKS (edit here; every deal tab reads these)</t>
  </si>
  <si>
    <t>Vacancy &amp; credit loss (% of GSI)</t>
  </si>
  <si>
    <t>Standard LA practice; vacant units carried at asking rent inside scheduled GSR</t>
  </si>
  <si>
    <t>Management fee (% of EGI)</t>
  </si>
  <si>
    <t>Deal-by-deal agent choice; 5% default, MAX(OM, benchmark) used</t>
  </si>
  <si>
    <t>Insurance: per unit ($)</t>
  </si>
  <si>
    <t>LAAA benchmark = (units x $200) + (gross SF x $1.00)</t>
  </si>
  <si>
    <t>Insurance: per gross SF ($)</t>
  </si>
  <si>
    <t>Repairs &amp; maintenance per unit, pre-1990 ($/yr)</t>
  </si>
  <si>
    <t>Repairs &amp; maintenance per unit, 1990+ ($/yr)</t>
  </si>
  <si>
    <t>Utilities per unit, LA City ($/yr)</t>
  </si>
  <si>
    <t>Owner-paid water/sewer/trash/common electric+gas (LA Sanitation bundles trash)</t>
  </si>
  <si>
    <t>Utilities per unit, Santa Monica ($/yr)</t>
  </si>
  <si>
    <t>Separate trash hauler, higher water rates</t>
  </si>
  <si>
    <t>Utilities per unit, Beverly Hills / WeHo / Culver ($/yr)</t>
  </si>
  <si>
    <t>Contract services per unit ($/yr)</t>
  </si>
  <si>
    <t>Landscaping, pest, common-area cleaning</t>
  </si>
  <si>
    <t>Admin / legal / licenses / rent registration per unit ($/yr)</t>
  </si>
  <si>
    <t>Includes RSO/rent-board fees, business license, bookkeeping</t>
  </si>
  <si>
    <t>Replacement reserves per unit ($/yr)</t>
  </si>
  <si>
    <t>Property tax rate: Los Angeles City</t>
  </si>
  <si>
    <t>Ad valorem + direct assessments, reassessed at purchase price</t>
  </si>
  <si>
    <t>Property tax rate: Santa Monica</t>
  </si>
  <si>
    <t>Property tax rate: Beverly Hills</t>
  </si>
  <si>
    <t>Property tax rate: West Hollywood</t>
  </si>
  <si>
    <t>Property tax rate: Culver City</t>
  </si>
  <si>
    <t>Financing: max LTV</t>
  </si>
  <si>
    <t>Financing: min DCR on LAAA NOI</t>
  </si>
  <si>
    <t>Loan = lesser of LTV loan and DCR-sized loan</t>
  </si>
  <si>
    <t>Financing: interest rate</t>
  </si>
  <si>
    <t>Financing: amortization (years)</t>
  </si>
  <si>
    <t>OM "light" threshold: LAAA total exceeds OM total by more than</t>
  </si>
  <si>
    <t>Flags OM EXPENSES LIGHT on the deal tab and Master List</t>
  </si>
  <si>
    <t>Rent-allocation weights when only GRM is published (relative to 1 Bd)</t>
  </si>
  <si>
    <t>Studio</t>
  </si>
  <si>
    <t>1 Bd</t>
  </si>
  <si>
    <t>2 Bd</t>
  </si>
  <si>
    <t>3 Bd</t>
  </si>
  <si>
    <t>Estimated in-place rents when NOTHING is published (orange cells on deal tabs)</t>
  </si>
  <si>
    <t>Coastal (SM / Venice / WeHo / BH): Studio</t>
  </si>
  <si>
    <t>Coastal: 1 Bd</t>
  </si>
  <si>
    <t>Coastal: 2 Bd</t>
  </si>
  <si>
    <t>Coastal: 3 Bd</t>
  </si>
  <si>
    <t>West LA / Palms / Culver: Studio</t>
  </si>
  <si>
    <t>West LA / Palms / Culver: 1 Bd</t>
  </si>
  <si>
    <t>West LA / Palms / Culver: 2 Bd</t>
  </si>
  <si>
    <t>West LA / Palms / Culver: 3 Bd</t>
  </si>
  <si>
    <t>Santa Monica, CA 90403  |  Santa Monica</t>
  </si>
  <si>
    <t>LoopNet listing</t>
  </si>
  <si>
    <t>Data pulled 9/17/2026 from LoopNet public listing</t>
  </si>
  <si>
    <t>PROPERTY</t>
  </si>
  <si>
    <t>Gross building SF</t>
  </si>
  <si>
    <t>Lot acres</t>
  </si>
  <si>
    <t>Stories</t>
  </si>
  <si>
    <t>1</t>
  </si>
  <si>
    <t>Zoning</t>
  </si>
  <si>
    <t>SMR3AY - Santa Monica R2 - Multi-Residential</t>
  </si>
  <si>
    <t>Occupancy per listing</t>
  </si>
  <si>
    <t>APN</t>
  </si>
  <si>
    <t>4281-035-016</t>
  </si>
  <si>
    <t>Assessed value (current)</t>
  </si>
  <si>
    <t>Listing broker(s)</t>
  </si>
  <si>
    <t>Date on market</t>
  </si>
  <si>
    <t>Listing last updated</t>
  </si>
  <si>
    <t>PRICING</t>
  </si>
  <si>
    <t>Price per unit</t>
  </si>
  <si>
    <t>Price per gross SF</t>
  </si>
  <si>
    <t>OM / listing cap rate (as published)</t>
  </si>
  <si>
    <t>OM / listing GRM (as published)</t>
  </si>
  <si>
    <t>UNIT MIX &amp; SCHEDULED RENT</t>
  </si>
  <si>
    <t>Unit type</t>
  </si>
  <si>
    <t># Units</t>
  </si>
  <si>
    <t>Avg rent / mo</t>
  </si>
  <si>
    <t>Monthly total</t>
  </si>
  <si>
    <t>Annual</t>
  </si>
  <si>
    <t>Rent source</t>
  </si>
  <si>
    <t>2 Bd / 2 Ba</t>
  </si>
  <si>
    <t>2 Bd / 1.5 Ba</t>
  </si>
  <si>
    <t>2 Bd / 1 Ba</t>
  </si>
  <si>
    <t>1 Bd / 1 Ba</t>
  </si>
  <si>
    <t>Total / weighted avg</t>
  </si>
  <si>
    <t>INCOME</t>
  </si>
  <si>
    <t>OM as presented</t>
  </si>
  <si>
    <t>LAAA underwritten</t>
  </si>
  <si>
    <t>Basis / note</t>
  </si>
  <si>
    <t>Scheduled gross rent</t>
  </si>
  <si>
    <t>OM column: price / published GRM</t>
  </si>
  <si>
    <t>Other income (laundry, parking, RUBS)</t>
  </si>
  <si>
    <t>Gross scheduled income</t>
  </si>
  <si>
    <t>Vacancy &amp; credit loss</t>
  </si>
  <si>
    <t>OM 3.0% (OM figure if extracted, else 3% assumed); LAAA per Assumptions</t>
  </si>
  <si>
    <t>Effective gross income</t>
  </si>
  <si>
    <t>OPERATING EXPENSES</t>
  </si>
  <si>
    <t>Expense line</t>
  </si>
  <si>
    <t>LAAA benchmark</t>
  </si>
  <si>
    <t>Delta vs OM</t>
  </si>
  <si>
    <t>Property taxes (reassessed at price)</t>
  </si>
  <si>
    <t>Santa Monica rate x asking price; always reassessed, never MAX</t>
  </si>
  <si>
    <t>Insurance</t>
  </si>
  <si>
    <t>LAAA benchmark (units x $200) + (SF x $1.00)</t>
  </si>
  <si>
    <t>Management</t>
  </si>
  <si>
    <t>% of LAAA EGI</t>
  </si>
  <si>
    <t>Repairs &amp; maintenance</t>
  </si>
  <si>
    <t>per unit, by vintage</t>
  </si>
  <si>
    <t>Utilities (water/sewer/trash/common electric &amp; gas)</t>
  </si>
  <si>
    <t>per unit, by city</t>
  </si>
  <si>
    <t>Contract services (landscape, pest, cleaning)</t>
  </si>
  <si>
    <t>per unit</t>
  </si>
  <si>
    <t>Admin / legal / licenses / rent registration</t>
  </si>
  <si>
    <t>per unit; OM "other" items land here</t>
  </si>
  <si>
    <t>Replacement reserves</t>
  </si>
  <si>
    <t>Total operating expenses</t>
  </si>
  <si>
    <t>OM line items not published. OM total IMPLIED = OM EGI - (price x published cap)</t>
  </si>
  <si>
    <t>Expenses per unit</t>
  </si>
  <si>
    <t>Expenses as % of EGI</t>
  </si>
  <si>
    <t>NOI &amp; RETURNS</t>
  </si>
  <si>
    <t>Net operating income</t>
  </si>
  <si>
    <t>Cap rate on asking price</t>
  </si>
  <si>
    <t>OM column recomputed from OM figures; compare to published cap above</t>
  </si>
  <si>
    <t>GRM (price / scheduled rent)</t>
  </si>
  <si>
    <t>NOI per unit</t>
  </si>
  <si>
    <t>FINANCING (illustrative, on LAAA NOI)</t>
  </si>
  <si>
    <t>LTV loan</t>
  </si>
  <si>
    <t>DCR-sized loan</t>
  </si>
  <si>
    <t>Loan amount (lesser of)</t>
  </si>
  <si>
    <t>Down payment</t>
  </si>
  <si>
    <t>Annual debt service</t>
  </si>
  <si>
    <t>DCR</t>
  </si>
  <si>
    <t>Cash flow after debt service</t>
  </si>
  <si>
    <t>Cash-on-cash return</t>
  </si>
  <si>
    <t>Legend: yellow = published input, orange = estimated (nothing published), grey = LAAA underwritten (MAX of OM line and benchmark; taxes always reassessed).</t>
  </si>
  <si>
    <t>Venice, CA 90291  |  Venice</t>
  </si>
  <si>
    <t>2</t>
  </si>
  <si>
    <t>R3, Los Angeles - Multiple Family Dwelling Residential</t>
  </si>
  <si>
    <t>4242-009-011</t>
  </si>
  <si>
    <t>Los Angeles rate x asking price; always reassessed, never MAX</t>
  </si>
  <si>
    <t>NOTE: 80% occupied per LoopNet</t>
  </si>
  <si>
    <t>SMR2*</t>
  </si>
  <si>
    <t>Multiple</t>
  </si>
  <si>
    <t>Los Angeles, CA 90025  |  West LA / Sawtelle</t>
  </si>
  <si>
    <t>R3-1, Los Angeles</t>
  </si>
  <si>
    <t>4321-003-033</t>
  </si>
  <si>
    <t>Studio  (~334 SF)</t>
  </si>
  <si>
    <t>Los Angeles, CA 90064  |  West LA / Rancho Park</t>
  </si>
  <si>
    <t>3</t>
  </si>
  <si>
    <t>LAR3</t>
  </si>
  <si>
    <t>4256-013-043</t>
  </si>
  <si>
    <t>Los Angeles, CA 90034  |  Palms</t>
  </si>
  <si>
    <t>NOTE: Two adjacent parcels; 10 of 12 are 3-bed</t>
  </si>
  <si>
    <t>LARD1.5</t>
  </si>
  <si>
    <t>3 Bd / 2 Ba</t>
  </si>
  <si>
    <t>NOTE: Reduced</t>
  </si>
  <si>
    <t>LAR3 - Multi Family Dwelling</t>
  </si>
  <si>
    <t>4257-019-044</t>
  </si>
  <si>
    <t>4323-021-022</t>
  </si>
  <si>
    <t>NOTE: 80% occupied</t>
  </si>
  <si>
    <t>LAR3 - Restricted Density Multiple Dwelling</t>
  </si>
  <si>
    <t>4314-009-036</t>
  </si>
  <si>
    <t>Santa Monica, CA 90405  |  Santa Monica</t>
  </si>
  <si>
    <t>SMR3* - residential</t>
  </si>
  <si>
    <t>4273-012-016</t>
  </si>
  <si>
    <t>Data pulled 9/17/2026 from LoopNet public listing + LAAA OM extraction (July 2026 intake)</t>
  </si>
  <si>
    <t>R3, Santa Monica - OP2</t>
  </si>
  <si>
    <t>4287-020-031</t>
  </si>
  <si>
    <t>OM column: OM rent roll</t>
  </si>
  <si>
    <t>Admin / legal / licenses / rent registration / other OM items</t>
  </si>
  <si>
    <t>OM other items: Rent Control Fees 4,560; Manager/Keyholder 4,620</t>
  </si>
  <si>
    <t>OM claimed total 186,788 (lines mapped from OM extraction)</t>
  </si>
  <si>
    <t>West Hollywood, CA 90046  |  West Hollywood</t>
  </si>
  <si>
    <t>R4, West Hollywood</t>
  </si>
  <si>
    <t>5554-018-011</t>
  </si>
  <si>
    <t>West Hollywood rate x asking price; always reassessed, never MAX</t>
  </si>
  <si>
    <t>4262-006-031</t>
  </si>
  <si>
    <t>Los Angeles, CA 90035  |  Pico-Robertson / Beverlywood</t>
  </si>
  <si>
    <t>4332-025-030</t>
  </si>
  <si>
    <t>NOTE: GRM 9.12 published</t>
  </si>
  <si>
    <t>4286-026-003</t>
  </si>
  <si>
    <t>Studio  (~500 SF)</t>
  </si>
  <si>
    <t>1 Bd / 1 Ba  (~600 SF)</t>
  </si>
  <si>
    <t>2 Bd / 1 Ba  (~650 SF)</t>
  </si>
  <si>
    <t>Culver City, CA 90232  |  Culver City</t>
  </si>
  <si>
    <t>NOTE: Part of a portfolio sale; GRM not published, rents estimated</t>
  </si>
  <si>
    <t>CCR4</t>
  </si>
  <si>
    <t>4213-005-022</t>
  </si>
  <si>
    <t>1 Bd / 1 Ba  (~700 SF)</t>
  </si>
  <si>
    <t>ESTIMATED (no rents, GRM or cap published) - verify with OM</t>
  </si>
  <si>
    <t>3 Bd / 1 Ba  (~1200 SF)</t>
  </si>
  <si>
    <t>2 Bd / 1 Ba  (~1200 SF)</t>
  </si>
  <si>
    <t>OM GSR not published</t>
  </si>
  <si>
    <t>Culver City rate x asking price; always reassessed, never MAX</t>
  </si>
  <si>
    <t>OM expenses not published</t>
  </si>
  <si>
    <t>OM NOI = price x published cap</t>
  </si>
  <si>
    <t>WDR3C* - Restricted Density Multiple Dwelling</t>
  </si>
  <si>
    <t>5530-026-019</t>
  </si>
  <si>
    <t>2 Bd / 1 Ba  (~900 SF)</t>
  </si>
  <si>
    <t>Los Angeles, CA 90066  |  Mar Vista</t>
  </si>
  <si>
    <t>4214-007-004</t>
  </si>
  <si>
    <t>WDR2 - Residential</t>
  </si>
  <si>
    <t>5530-005-006</t>
  </si>
  <si>
    <t>Studio  (~496 SF)</t>
  </si>
  <si>
    <t>1 Bd / 1 Ba  (~687 SF)</t>
  </si>
  <si>
    <t>Unit mix rows total 9 vs 10 units in listing facts - verify</t>
  </si>
  <si>
    <t>Santa Monica, CA 90404  |  Santa Monica</t>
  </si>
  <si>
    <t>R2</t>
  </si>
  <si>
    <t>4283-028-002</t>
  </si>
  <si>
    <t>1 Bd / 2 Ba</t>
  </si>
  <si>
    <t>NOTE: Two separate APNs, TOC Tier 2</t>
  </si>
  <si>
    <t>LAR3 - LAR3. TOC Tier 2.</t>
  </si>
  <si>
    <t>4252-003-006</t>
  </si>
  <si>
    <t>3 Bd / 1 Ba</t>
  </si>
  <si>
    <t>SMR4YY</t>
  </si>
  <si>
    <t>4292-023-001</t>
  </si>
  <si>
    <t>West Hollywood, CA 90069  |  West Hollywood</t>
  </si>
  <si>
    <t>R4, West Hollywood - Restricted Density Multiple Dwelling</t>
  </si>
  <si>
    <t>5555-004-013</t>
  </si>
  <si>
    <t>2 Bd / 2.5 Ba</t>
  </si>
  <si>
    <t>Santa Monica, CA 90401  |  Santa Monica</t>
  </si>
  <si>
    <t>NOTE: LoopNet shows 13 studio units; assessor/DB shows 10 units. Verify unit count</t>
  </si>
  <si>
    <t>SMR3* - Multiple Dwelling</t>
  </si>
  <si>
    <t>4282-008-019</t>
  </si>
  <si>
    <t>from LAAA OM extraction</t>
  </si>
  <si>
    <t>OM claimed total 104,641 (lines mapped from OM extraction)</t>
  </si>
  <si>
    <t>4263-007-025</t>
  </si>
  <si>
    <t>NOTE: New listing 9/10/26</t>
  </si>
  <si>
    <t>LAR3 - R2 Uses, Apartment Houses, Multiple Dwellings, Child Care (20 max)</t>
  </si>
  <si>
    <t>4316-031-014</t>
  </si>
  <si>
    <t>R3, Santa Monica - Multiple Residential</t>
  </si>
  <si>
    <t>4281-021-010</t>
  </si>
  <si>
    <t>2 Bd / 1 Ba  (~700 SF)</t>
  </si>
  <si>
    <t>CP, Santa Monica - CP (Commercial Pedestrian) zoning supports pedestrian-oriented retail, restaurant, office, and service uses within a walkable commercial district.</t>
  </si>
  <si>
    <t>4282-017-034</t>
  </si>
  <si>
    <t>NOTE: New listing 9/10/26, long-term family ownership</t>
  </si>
  <si>
    <t>4252-026-012</t>
  </si>
  <si>
    <t>R3, Santa Monica</t>
  </si>
  <si>
    <t>4292-009-022</t>
  </si>
  <si>
    <t>Unallocated / other OM expense items</t>
  </si>
  <si>
    <t>OM total claimed minus lines mapped above (OM did not itemize; LAAA benchmark lines already cover these costs)</t>
  </si>
  <si>
    <t>OM claimed total 106,350 (lines mapped from OM extraction)</t>
  </si>
  <si>
    <t>WDR4 - R4 zoning district provides for the development of a wide range of high-density multi-family housing, including apartments and condominiums.</t>
  </si>
  <si>
    <t>5554-016-033</t>
  </si>
  <si>
    <t>Los Angeles, CA 90024  |  Westwood</t>
  </si>
  <si>
    <t>NOTE: 50% occupied; cap 3.12% published</t>
  </si>
  <si>
    <t>LAR3 - Multiple residences</t>
  </si>
  <si>
    <t>NOTE: No cap/GRM published; rents estimated</t>
  </si>
  <si>
    <t>C2-1, Los Angeles</t>
  </si>
  <si>
    <t>Studio  (~210 SF)</t>
  </si>
  <si>
    <t>1 Bd / 1 Ba  (~485 SF)</t>
  </si>
  <si>
    <t>NOTE: UNPRICED. 18 studios, 300 ft from sand</t>
  </si>
  <si>
    <t>LARD1.5 - Residential</t>
  </si>
  <si>
    <t>4286-021-009</t>
  </si>
  <si>
    <t>UNPRICED (price upon request)</t>
  </si>
  <si>
    <t>NOTE: UNPRICED. 2024 construction, 12 units</t>
  </si>
  <si>
    <t>5</t>
  </si>
  <si>
    <t>LAR3 - Restricted Density Multiple Dwelling Zone</t>
  </si>
  <si>
    <t>4261-025-027</t>
  </si>
  <si>
    <t>Units (mix not published)</t>
  </si>
  <si>
    <t>Beverly Hills, CA 90211  |  Beverly Hills</t>
  </si>
  <si>
    <t>NOTE: Address not published on LoopNet; 15,751 SF combined lot; 6 of 10 units in one bldg delivered vacant. No financials published</t>
  </si>
  <si>
    <t>Unit mix not published; 18 units split assumed 12x1BR / 6x2BR</t>
  </si>
  <si>
    <t>Beverly Hills rate x asking price; always reassessed, never MAX</t>
  </si>
  <si>
    <t>Beverly Hills, CA 90210  |  Beverly Hills</t>
  </si>
  <si>
    <t>BHR4YY - Multiple Residential</t>
  </si>
  <si>
    <t>4342-005-012</t>
  </si>
  <si>
    <t>1 Bd / 1 Ba  (~880 SF)</t>
  </si>
  <si>
    <t>2 Bd / 2 Ba  (~984 SF)</t>
  </si>
  <si>
    <t>WDR2* - Two-Family Dwellings</t>
  </si>
  <si>
    <t>5530-005-002</t>
  </si>
  <si>
    <t>NOTE: UNPRICED. 60% occupied, value-add / redevelopment</t>
  </si>
  <si>
    <t>WDR4* - Multifamily</t>
  </si>
  <si>
    <t>4339-010-002</t>
  </si>
  <si>
    <t>1 Bd / 1 Ba  (~455 SF)</t>
  </si>
  <si>
    <t>Studio  (~450 SF)  [Units 1, 11; rents $2,248 and $2,038; market $2,300]</t>
  </si>
  <si>
    <t>1 Bd / 1 Ba  (~625 SF)  [Units 3-6; rents $1,205 / $3,073 / $1,309 / $3,153 (two lega]</t>
  </si>
  <si>
    <t>2 Bd / 1 Ba  (~758 SF)  [Units 7-10 at 800 SF plus unit 13 attached ADU at 588 SF; re]</t>
  </si>
  <si>
    <t>2 Bd / 2 Ba  (~694 SF)  [Unit 2 (800 SF, $3,348) and unit 12 attached ADU (588 SF, $3]</t>
  </si>
  <si>
    <t>2 Bd / 2 Ba Two-Story Townhome (detached ADU)  (~887 SF)  [Unit 14 detached ADU; market $3,800]</t>
  </si>
  <si>
    <t>OM 3.0%; LAAA per Assumptions</t>
  </si>
  <si>
    <t>per unit, by city; OM utilities + water/sewer + gas/electric + trash combined</t>
  </si>
  <si>
    <t>OM other items: Miscellaneous 2,500</t>
  </si>
  <si>
    <t>OM states NOI 316,125 / cap 6.2</t>
  </si>
  <si>
    <t>1 Bd / 1 Ba  [Unit 304, Non-RSO; at market ($2,900)]</t>
  </si>
  <si>
    <t>2 Bd / 1 Ba  [Unit 204, RSO; market $3,100]</t>
  </si>
  <si>
    <t>2 Bd / 2 Ba  [Units 100,101,102,103,200,203,303; rents $2,131 to $3,345 (s]</t>
  </si>
  <si>
    <t>3 Bd / 2 Ba  [Units 201,202,205,301,302,305; rents $3,531 to $3,952 (sum $]</t>
  </si>
  <si>
    <t>OM other items: Direct Assessments (2026 actual) 2,554; Maintenance Supplies (2026 annualized) 2,935; Utilities - Telephone (2026 annualized) 767; Elevator (2026 annualized) 2,724; Cleaning &amp; Other Se</t>
  </si>
  <si>
    <t>OM states NOI 359,435 / cap 5.66</t>
  </si>
  <si>
    <t>1 Bd / 1 Ba  [Units 1-9, 11, 12. Units 2, 3 and 12 vacant at $2,800 asking]</t>
  </si>
  <si>
    <t>Studio  [Unit 10, vacant at $2,295 asking (same as pro forma).]</t>
  </si>
  <si>
    <t>OM other items: General &amp; Admin 1,200; Contract Services (pest control $100/unit; landscaping $0) 1,200; Turnover Costs 3,000</t>
  </si>
  <si>
    <t>OM states NOI 265,463 / cap 5.59</t>
  </si>
  <si>
    <t>1 Bd / 1 Ba  (~609 SF)  [15 occupied at $628-$2,557 (sum $23,093/mo) plus unit H03 va]</t>
  </si>
  <si>
    <t>2 Bd / 2 Ba  (~915 SF)  [H01 $3,681 and H21 $3,150; OM shows avg $3,415, $6,831/mo.]</t>
  </si>
  <si>
    <t>OM other items: General &amp; Administrative (gifts, appliances, bank charges, credit checks) 1,554</t>
  </si>
  <si>
    <t>OM states NOI 267,991 / cap 5.58</t>
  </si>
  <si>
    <t>2 Bd / 2.5 Ba  [Units 101-107, townhouse-style; rents $2,910-$3,700; monthly]</t>
  </si>
  <si>
    <t>3 Bd / 3 Ba  [PH1-PH3 penthouses with private rooftop decks; PH1 $3,750, P]</t>
  </si>
  <si>
    <t>OM other items: Direct Assessments (2026 annualized) 3,357; Maintenance Supplies (2026 annualized) 3,130; Utilities - Telephone (2026 annualized) 1,461; Elevator (2026 annualized) 2,229; Services (202</t>
  </si>
  <si>
    <t>OM states NOI 290,818 / cap 5.54</t>
  </si>
  <si>
    <t>Studio / 1 Ba (non-conforming)  (~650 SF)  [Unit 307, non-conforming single; excluded from the 15 legal ]</t>
  </si>
  <si>
    <t>1 Bd / 1 Ba  (~750 SF)  [Units 101 ($2,137) and 103 ($1,850); total $3,987]</t>
  </si>
  <si>
    <t>2 Bd / 2 Ba  (~933 SF)  [11 units at 950 SF and unit 102 at 750 SF (OM avg 933 SF). T]</t>
  </si>
  <si>
    <t>3 Bd / 3 Ba  (~1200 SF)  [Unit 204]</t>
  </si>
  <si>
    <t>OM rent roll totals 16 units vs 15 in listing facts - verify</t>
  </si>
  <si>
    <t>OM 5.0%; LAAA per Assumptions</t>
  </si>
  <si>
    <t>OM other items: Elevator 3,332; Fire &amp; Safety 510; Telephone &amp; Internet 1,158; Direct Assessment 2,433; unallocated vs OM total -2,999</t>
  </si>
  <si>
    <t>OM states NOI 258,575 / cap 5.5</t>
  </si>
  <si>
    <t>Studio / 1 Ba  (~520 SF)  [units 5, 6, 16, 17; range $833 to $1,575]</t>
  </si>
  <si>
    <t>1 Bd / 1 Ba  (~720 SF)  [units 1-3, 8-12, 14, 15, 19-21; unit 8 is 900 SF, rest 720 S]</t>
  </si>
  <si>
    <t>2 Bd / 1 Ba  (~900 SF)  [units 7, 18]</t>
  </si>
  <si>
    <t>2 Bd / 2 Ba  (~900 SF)  [unit 4]</t>
  </si>
  <si>
    <t>OM 2.0%; LAAA per Assumptions</t>
  </si>
  <si>
    <t>OM other items: On Site Manager 13,200; Pool 4,320; Rent Registration 2,880</t>
  </si>
  <si>
    <t>OM states NOI 220,658 / cap 5.32</t>
  </si>
  <si>
    <t>Studio / 1 Ba  [OM market/asking rent 2395; OM avg shown 2,298]</t>
  </si>
  <si>
    <t>1 Bd / 1 Ba  [OM market/asking rent 2775; OM avg shown 2,465; includes vac]</t>
  </si>
  <si>
    <t>2 Bd / 2 Ba  [OM market/asking rent 3595; OM avg shown 3,204; 228-6 owner-]</t>
  </si>
  <si>
    <t>OM other items: On-Site Management 14,400; S.M. Unit Registration 4,800; Miscellaneous ($100/unit) 2,000</t>
  </si>
  <si>
    <t>OM states NOI 394,940 / cap 5.07</t>
  </si>
  <si>
    <t>OM rent roll, current in-place rents (OM undated, rent roll May 2026)</t>
  </si>
  <si>
    <t>OM column: OM stated current scheduled rent (OM undated, rent roll May 2026); LAAA column: OM rent roll by unit type</t>
  </si>
  <si>
    <t>OM line items from OM (OM undated, rent roll May 2026); basis: OM 'Current' column of Estimated Expenses (page 17); broker estimates per OM note ('estimated only, based partly on industry standards'). Taxes = 1.175% of list price (reassessed at sale, not seller actual). Management 4% of scheduled rent. R&amp;M assumed $500/unit/yr. Utilities is a single $12,000 line (water/gas/electric not split). Pro forma total is $124,030 (only management changes).; OM total 119,654</t>
  </si>
  <si>
    <t>Data pulled 9/17/2026 from LoopNet public listing + rent roll and expenses read from the listing broker's OM (RE/MAX, Taksa Investment Group, undated, rent roll May 2026)</t>
  </si>
  <si>
    <t>OM rent roll, current in-place rents (OM rent roll 9/1/2026)</t>
  </si>
  <si>
    <t>OM column: OM stated current scheduled rent (OM rent roll 9/1/2026); LAAA column: OM rent roll by unit type</t>
  </si>
  <si>
    <t>OM line items from OM (OM rent roll 9/1/2026); basis: OM 'Current' column of the Pro Forma Annual Operating Expenses page. Mixed basis: taxes projected at 1.187% x sale price, management 4.0% x GOI (projected), insurance $1.18/GSF (labeled actual), R&amp;M $1,500/unit and reserves $350/unit projected; direct assessments and all utility/service lines are 2026 actual/annualized. gas_electric is gas only (no electric line). utilities key left null because the OM breaks utilities out by line.; OM total 191,916</t>
  </si>
  <si>
    <t>Data pulled 9/17/2026 from LoopNet public listing + rent roll and expenses read from the listing broker's OM (Lyon Stahl / Serhant / Taksa, rent roll 9/1/2026)</t>
  </si>
  <si>
    <t>OM rent roll, current in-place rents (OM Jul 2026)</t>
  </si>
  <si>
    <t>OM column: OM stated current scheduled rent (OM Jul 2026); LAAA column: OM rent roll by unit type</t>
  </si>
  <si>
    <t>OM line items from OM (OM Jul 2026); basis: OM 'Annualized Expenses' CURRENT column (Income &amp; Expenses page 9). Broker estimates: taxes reset on list price (1.203757% x $4,750,000 + $1,877.10 special assessments); insurance and utilities 'as provided from historical operations'; R&amp;M $500/unit, turnover $300/unit, contract services $100/unit are broker standards. 'Utilities' is a single $4,400 line (water master-metered; gas and electric separately metered), not split. No reserves line in the table although the notes say $250/unit is underwritten. Pro forma column total is $96,465.; OM total 95,494</t>
  </si>
  <si>
    <t>Data pulled 9/17/2026 from LoopNet public listing + rent roll and expenses read from the listing broker's OM (Marcus &amp; Millichap, Jul 2026)</t>
  </si>
  <si>
    <t>OM rent roll, current in-place rents (OM Aug 2026)</t>
  </si>
  <si>
    <t>OM column: OM stated current scheduled rent (OM Aug 2026); LAAA column: OM rent roll by unit type</t>
  </si>
  <si>
    <t>OM line items from OM (OM Aug 2026); basis: OM 'Current' column (Financial Summary p.10 / Operating Statement p.12), identical to Year 1. Utilities, trash, G&amp;A and insurance read as owner actuals per OM notes; real estate taxes are pro forma at list price (OM footnote), not current; reserves are a broker assumption of $200/unit. No management fee and no repairs &amp; maintenance line anywhere in the OM. Electric $1,050 + gas $363 combined into gas_electric.; OM total 85,740</t>
  </si>
  <si>
    <t>Data pulled 9/17/2026 from LoopNet public listing + rent roll and expenses read from the listing broker's OM (Marcus &amp; Millichap, Aug 2026)</t>
  </si>
  <si>
    <t>OM line items from OM (OM rent roll 9/1/2026); basis: OM 'Current' column of the Pro Forma Annual Operating Expenses page. Mixed basis: taxes projected at 1.187% x $5,250,000 list price (not seller actual), management projected at 4.0% of GOI, reserves projected at $200/unit; insurance is 2026 actual ($0.51/GSF); R&amp;M is $1,200/unit annualized; all remaining lines are 2026 annualized actuals. Gas and electric are separately metered (tenant-paid), so no owner gas/electric line. Total 31.22% of SGI. Market column is $140,062 (only management changes).; OM total 138,058</t>
  </si>
  <si>
    <t>OM line items from OM (OM Jul 2026); basis: OM 'Estimated Annualized Expenses', Current Rents column (broker estimate, not stated as owner actuals). Taxes reset at 1.20% of $4,700,000 list price. Management 4% of Gross Operating Income (EGI basis). Utilities is a single combined line (water/sewer and gas/electric not split; OM notes separate gas and electric meters). Reserves $3,000 sit below NOI in the OM and are NOT in total_claimed. Total per OM = 37.4% of EGI, $11,172 per legal unit (15), $10.32 per SF.; OM total 167,586</t>
  </si>
  <si>
    <t>OM line items from OM (OM Aug 2026); basis: OM 'Current' column on the Income and Expense page (p29) and Financial Overview (p30); taxes, R&amp;M and off-site management are marked '*Estimated' by the OM (taxes = 1.1751% of list price; off-site management = 4.0% of GPR); other lines are presented as actuals. Utilities is one combined line (power, gas and water; water master metered, gas and electric separately metered). Pro forma column differs only in management ($22,502).; OM total 174,070</t>
  </si>
  <si>
    <t>OM line items from OM (OM rent roll 9/1/2026); basis: OM 'Estimated Annual Expenses' (broker estimates, same $217,743 applied to both Current and Market columns). Taxes est. 1.25% of price; R&amp;M $2/SF on 15,640 SF; off-site management 4% of GOI ($631,632); utilities is a single combined line. Vacancy reserve 3% of GOI ($18,949) is shown as a deduction to EGI, not an expense line. Line items sum to $217,743 exactly.; OM total 217,743</t>
  </si>
  <si>
    <t>Data pulled 9/17/2026 from LoopNet public listing + rent roll and expenses read from the listing broker's OM (Lee &amp; Associates, Berzack, rent roll 9/1/2026)</t>
  </si>
  <si>
    <t>NOTE: New listing 9/15/26, remodeled | OM: OM date not printed; latest move-in date on rent roll is 5/4/26 so the roll is mid-2026 or later.; Rent roll page text layer was scrambled; current rents read from the rendered page image. Unit-by-unit sum $37,286/mo vs OM total $37,283 ($3 rounding diff, within 1%); annual $447,401 per OM.; Current</t>
  </si>
  <si>
    <t>NOTE: | OM: Rent roll cross-check OK: 15 unit rents sum to $47,128/mo vs OM $47,127 (rounding); x12 = $565,536 vs OM $565,525 annual (0.002%).; Expense line items sum to $188,808, not the OM's stated total of $191,916 (short $3,108, 1.6%). NOI of $359,435 is computed off the $191,916 total; recomputed on the li</t>
  </si>
  <si>
    <t>NOTE: | OM: Vacant units: rent roll marks 4 units vacant (2, 3, 10, 12) but the Investment Description and Highlights say 'five vacant units'. Four vacant units are carried at asking rent inside current GSR ($2,800 x3 + $2,295 studio = $10,695/mo, 34% of current GSR).; Cross-check passed: unit-by-unit rents sum</t>
  </si>
  <si>
    <t xml:space="preserve">NOTE: | OM: Vacant unit: H03 (1 Bd / 1 Ba, 600 SF) shows 'Vacant' on the rent roll; counted here at the OM asking/market rent of $2,350 per the rules.; Two 'current' GSR figures in the OM: the Financial Summary / Operating Statement Gross Scheduled (Current) Rent is $359,102 (occupied units only, vacant H03 at </t>
  </si>
  <si>
    <t>NOTE: 1988 build, RSO exempt | OM: Rent roll is labeled 'Rent (Effective 9/1/26)', i.e. forward-dated to Sept 1, 2026, not a historical in-place roll.; PH3 (3+3) is vacant as of 9/1/26 and is carried in scheduled rent at the $4,850 market asking rent; without it in-place monthly rent is $31,995.; Unit 102 shows a 7/29/26 move-in at $</t>
  </si>
  <si>
    <t>NOTE: UNDER CONTRACT per Filip 9/17/26 (confirm which Corning listing). 15 units plus one non-conforming unit per listing | OM: Units 202 and 205 (2 Bd / 2 Ba) are vacant; OM carries them at $2,750 asking rent in current income, which is included in the current GSR of $36,747/mo; Unit count: 15 legal units plus 1 non-conforming single (unit 307, $1,331). Mix rows total 16 rented units; OM $/unit ($313,333) and per-unit expen</t>
  </si>
  <si>
    <t>NOTE: First sale in 38 years | OM: Unit 21 (1 Bd / 1 Ba) is vacant; OM asking rent $2,300 used as its current rent, per OM convention (OM totals include it in scheduled rent).; Cross-check: sum of 20 unit rents = $33,311/mo ($399,732/yr) vs OM stated $33,310/mo and $399,722/yr GPR; difference is rounding, well within 1%.; Rent roll f</t>
  </si>
  <si>
    <t>NOTE: Two parcels 222 &amp; 228 Idaho | OM: Unit-by-unit rents sum to exactly $50,436/mo; OM annual $605,232 = 12 x $50,436 (matches).; Unit 228-3 (1+1) is VACANT; its $2,800 is the OM's asking rent, included in current GSR per OM.; Three units are owner occupied and 'can be delivered vacant' (228-1 $2,750, 228-6 $3,595, 228-10 $2,800); the O</t>
  </si>
  <si>
    <t>2 Bd / 2 Ba  (~975 SF)  [range $1,520-$2,600; one is the manager's unit at $1,800]</t>
  </si>
  <si>
    <t>OM rent roll, current in-place rents (OM rent roll 7/1/2026)</t>
  </si>
  <si>
    <t>1 Bd / 1 Ba  (~800 SF)  [range $991-$1,995; includes 1 vacant unit (2619 #1) carried ]</t>
  </si>
  <si>
    <t>Studio  (~400 SF)  [studios with full kitchens; range $842-$1,650]</t>
  </si>
  <si>
    <t>Bachelor  (~300 SF)  [single unit]</t>
  </si>
  <si>
    <t>OM column: OM stated current scheduled rent (OM rent roll 7/1/2026); LAAA column: OM rent roll by unit type</t>
  </si>
  <si>
    <t>OM other items: Contract Services 25,000</t>
  </si>
  <si>
    <t>OM line items from OM (OM rent roll 7/1/2026); basis: OM 'Current' column of Operating Data (p.14); broker estimates 'based partly on industry standards', not owner actuals. Taxes = 1.18738% of $5.9M price. Management = Off-Site $1,800 + On-Site $9,600. Pro Forma column is identical ($181,588). Utilities is a single combined line.; OM total 181,588</t>
  </si>
  <si>
    <t>OM states NOI 332,805 / cap 5.64</t>
  </si>
  <si>
    <t>Data pulled 9/17/2026 from LoopNet public listing + rent roll and expenses read from the listing broker's OM (RE/MAX Commercial &amp; Investment Realty (Taksa Investment Group), Jonathan Taksa, rent roll 7/1/2026)</t>
  </si>
  <si>
    <t xml:space="preserve">NOTE: $325K reduction | OM: Price: OM states $5,900,000 (cap 5.64%, GRM 11.19); LoopNet listing at $5,575,000 implies a price reduction after the OM date. At $5,575,000 the OM NOI gives 5.97% cap / 10.57 GRM.; Vacant unit: 2619 S Sepulveda #1 (1+1) is vacant and carried at the $1,995 asking/market rent inside the current GSR; </t>
  </si>
  <si>
    <t>per Filip 9/17/2026 (LoopNet did not publish)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</si>
</sst>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quot;-&quot;"/>
    <numFmt numFmtId="165" formatCode="\$#,##0.00"/>
    <numFmt numFmtId="166" formatCode="0.00&quot;x&quot;"/>
    <numFmt numFmtId="167" formatCode="&quot;$&quot;#,##0;\(&quot;$&quot;#,##0\);&quot;-&quot;"/>
  </numFmts>
  <fonts count="17" x14ac:knownFonts="1">
    <font>
      <sz val="11"/>
      <color theme="1"/>
      <name val="Calibri"/>
      <family val="2"/>
      <scheme val="minor"/>
    </font>
    <font>
      <i/>
      <sz val="9"/>
      <color rgb="FF595959"/>
      <name val="Calibri"/>
    </font>
    <font>
      <b/>
      <sz val="11"/>
      <color rgb="FF1B3A5C"/>
      <name val="Calibri"/>
    </font>
    <font>
      <b/>
      <sz val="13"/>
      <color rgb="FF1B3A5C"/>
      <name val="Calibri"/>
    </font>
    <font>
      <b/>
      <sz val="15"/>
      <color rgb="FF1B3A5C"/>
      <name val="Calibri"/>
    </font>
    <font>
      <sz val="11"/>
      <color rgb="FF595959"/>
      <name val="Calibri"/>
    </font>
    <font>
      <u/>
      <sz val="11"/>
      <color rgb="FF0563C1"/>
      <name val="Calibri"/>
    </font>
    <font>
      <b/>
      <sz val="10"/>
      <color rgb="FFFFFFFF"/>
      <name val="Calibri"/>
    </font>
    <font>
      <b/>
      <sz val="11"/>
      <name val="Calibri"/>
    </font>
    <font>
      <b/>
      <sz val="11"/>
      <color rgb="FFC00000"/>
      <name val="Calibri"/>
    </font>
    <font>
      <i/>
      <sz val="11"/>
      <color rgb="FFC00000"/>
      <name val="Calibri"/>
    </font>
    <font>
      <sz val="9"/>
      <name val="Calibri"/>
    </font>
    <font>
      <i/>
      <sz val="9"/>
      <color rgb="FF595959"/>
      <name val="Calibri"/>
      <family val="2"/>
    </font>
    <font>
      <b/>
      <sz val="11"/>
      <color rgb="FFC00000"/>
      <name val="Calibri"/>
      <family val="2"/>
    </font>
    <font>
      <b/>
      <sz val="11"/>
      <color rgb="FFC00000"/>
      <name val="Calibri"/>
      <family val="2"/>
      <scheme val="minor"/>
    </font>
    <font>
      <i/>
      <sz val="11"/>
      <color rgb="FFC00000"/>
      <name val="Calibri"/>
      <family val="2"/>
      <scheme val="minor"/>
    </font>
    <font>
      <i/>
      <sz val="11"/>
      <color theme="1"/>
      <name val="Calibri"/>
      <family val="2"/>
      <scheme val="minor"/>
    </font>
  </fonts>
  <fills count="10">
    <fill>
      <patternFill patternType="none"/>
    </fill>
    <fill>
      <patternFill patternType="gray125"/>
    </fill>
    <fill>
      <patternFill patternType="solid">
        <fgColor rgb="FFFFF2CC"/>
      </patternFill>
    </fill>
    <fill>
      <patternFill patternType="solid">
        <fgColor rgb="FFE8EDF3"/>
      </patternFill>
    </fill>
    <fill>
      <patternFill patternType="solid">
        <fgColor rgb="FF1B3A5C"/>
      </patternFill>
    </fill>
    <fill>
      <patternFill patternType="solid">
        <fgColor rgb="FFEDEDED"/>
      </patternFill>
    </fill>
    <fill>
      <patternFill patternType="solid">
        <fgColor rgb="FFFFF9E5"/>
      </patternFill>
    </fill>
    <fill>
      <patternFill patternType="solid">
        <fgColor rgb="FFFCE4D6"/>
      </patternFill>
    </fill>
    <fill>
      <patternFill patternType="solid">
        <fgColor rgb="FFF8CBAD"/>
      </patternFill>
    </fill>
    <fill>
      <patternFill patternType="solid">
        <fgColor rgb="FFFFF2CC"/>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61">
    <xf numFmtId="0" fontId="0" fillId="0" borderId="0" xfId="0"/>
    <xf numFmtId="0" fontId="4" fillId="0" borderId="0" xfId="0" applyFont="1"/>
    <xf numFmtId="0" fontId="7" fillId="4" borderId="1" xfId="0" applyFont="1" applyFill="1" applyBorder="1" applyAlignment="1">
      <alignment horizontal="center" vertical="center" wrapText="1"/>
    </xf>
    <xf numFmtId="0" fontId="0" fillId="0" borderId="1" xfId="0" applyBorder="1"/>
    <xf numFmtId="0" fontId="6" fillId="0" borderId="1" xfId="0" applyFont="1" applyBorder="1"/>
    <xf numFmtId="3" fontId="0" fillId="0" borderId="1" xfId="0" applyNumberFormat="1" applyBorder="1"/>
    <xf numFmtId="164" fontId="0" fillId="0" borderId="1" xfId="0" applyNumberFormat="1" applyBorder="1"/>
    <xf numFmtId="165" fontId="0" fillId="0" borderId="1" xfId="0" applyNumberFormat="1" applyBorder="1"/>
    <xf numFmtId="10" fontId="0" fillId="0" borderId="1" xfId="0" applyNumberFormat="1" applyBorder="1"/>
    <xf numFmtId="166" fontId="0" fillId="0" borderId="1" xfId="0" applyNumberFormat="1" applyBorder="1"/>
    <xf numFmtId="0" fontId="11" fillId="0" borderId="1" xfId="0" applyFont="1" applyBorder="1"/>
    <xf numFmtId="0" fontId="0" fillId="8" borderId="1" xfId="0" applyFill="1" applyBorder="1"/>
    <xf numFmtId="0" fontId="6" fillId="8" borderId="1" xfId="0" applyFont="1" applyFill="1" applyBorder="1"/>
    <xf numFmtId="3" fontId="0" fillId="8" borderId="1" xfId="0" applyNumberFormat="1" applyFill="1" applyBorder="1"/>
    <xf numFmtId="164" fontId="0" fillId="8" borderId="1" xfId="0" applyNumberFormat="1" applyFill="1" applyBorder="1"/>
    <xf numFmtId="165" fontId="0" fillId="8" borderId="1" xfId="0" applyNumberFormat="1" applyFill="1" applyBorder="1"/>
    <xf numFmtId="10" fontId="0" fillId="8" borderId="1" xfId="0" applyNumberFormat="1" applyFill="1" applyBorder="1"/>
    <xf numFmtId="166" fontId="0" fillId="8" borderId="1" xfId="0" applyNumberFormat="1" applyFill="1" applyBorder="1"/>
    <xf numFmtId="0" fontId="11" fillId="8" borderId="1" xfId="0" applyFont="1" applyFill="1" applyBorder="1"/>
    <xf numFmtId="0" fontId="8" fillId="3" borderId="0" xfId="0" applyFont="1" applyFill="1"/>
    <xf numFmtId="3" fontId="8" fillId="3" borderId="0" xfId="0" applyNumberFormat="1" applyFont="1" applyFill="1"/>
    <xf numFmtId="164" fontId="8" fillId="3" borderId="0" xfId="0" applyNumberFormat="1" applyFont="1" applyFill="1"/>
    <xf numFmtId="10" fontId="8" fillId="3" borderId="0" xfId="0" applyNumberFormat="1" applyFont="1" applyFill="1"/>
    <xf numFmtId="166" fontId="8" fillId="3" borderId="0" xfId="0" applyNumberFormat="1" applyFont="1" applyFill="1"/>
    <xf numFmtId="0" fontId="2" fillId="0" borderId="0" xfId="0" applyFont="1"/>
    <xf numFmtId="0" fontId="3" fillId="0" borderId="0" xfId="0" applyFont="1"/>
    <xf numFmtId="0" fontId="1" fillId="0" borderId="0" xfId="0" applyFont="1"/>
    <xf numFmtId="10" fontId="0" fillId="2" borderId="1" xfId="0" applyNumberFormat="1" applyFill="1" applyBorder="1"/>
    <xf numFmtId="164" fontId="0" fillId="2" borderId="1" xfId="0" applyNumberFormat="1" applyFill="1" applyBorder="1"/>
    <xf numFmtId="165" fontId="0" fillId="2" borderId="1" xfId="0" applyNumberFormat="1" applyFill="1" applyBorder="1"/>
    <xf numFmtId="0" fontId="0" fillId="2" borderId="1" xfId="0" applyFill="1" applyBorder="1"/>
    <xf numFmtId="164" fontId="0" fillId="0" borderId="0" xfId="0" applyNumberFormat="1"/>
    <xf numFmtId="0" fontId="5" fillId="0" borderId="0" xfId="0" applyFont="1"/>
    <xf numFmtId="0" fontId="6" fillId="0" borderId="0" xfId="0" applyFont="1"/>
    <xf numFmtId="0" fontId="2" fillId="3" borderId="0" xfId="0" applyFont="1" applyFill="1"/>
    <xf numFmtId="0" fontId="0" fillId="3" borderId="0" xfId="0" applyFill="1"/>
    <xf numFmtId="3" fontId="0" fillId="0" borderId="0" xfId="0" applyNumberFormat="1"/>
    <xf numFmtId="2" fontId="0" fillId="0" borderId="0" xfId="0" applyNumberFormat="1"/>
    <xf numFmtId="165" fontId="0" fillId="0" borderId="0" xfId="0" applyNumberFormat="1"/>
    <xf numFmtId="10" fontId="0" fillId="0" borderId="0" xfId="0" applyNumberFormat="1"/>
    <xf numFmtId="166" fontId="0" fillId="0" borderId="0" xfId="0" applyNumberFormat="1"/>
    <xf numFmtId="0" fontId="7" fillId="4" borderId="0" xfId="0" applyFont="1" applyFill="1" applyAlignment="1">
      <alignment horizontal="center"/>
    </xf>
    <xf numFmtId="0" fontId="8" fillId="0" borderId="0" xfId="0" applyFont="1"/>
    <xf numFmtId="3" fontId="8" fillId="0" borderId="0" xfId="0" applyNumberFormat="1" applyFont="1"/>
    <xf numFmtId="164" fontId="8" fillId="0" borderId="0" xfId="0" applyNumberFormat="1" applyFont="1"/>
    <xf numFmtId="0" fontId="7" fillId="4" borderId="0" xfId="0" applyFont="1" applyFill="1"/>
    <xf numFmtId="164" fontId="0" fillId="5" borderId="0" xfId="0" applyNumberFormat="1" applyFill="1"/>
    <xf numFmtId="0" fontId="9" fillId="0" borderId="0" xfId="0" applyFont="1"/>
    <xf numFmtId="164" fontId="0" fillId="6" borderId="1" xfId="0" applyNumberFormat="1" applyFill="1" applyBorder="1"/>
    <xf numFmtId="164" fontId="0" fillId="7" borderId="1" xfId="0" applyNumberFormat="1" applyFill="1" applyBorder="1"/>
    <xf numFmtId="0" fontId="10" fillId="0" borderId="0" xfId="0" applyFont="1"/>
    <xf numFmtId="167" fontId="0" fillId="0" borderId="0" xfId="0" applyNumberFormat="1"/>
    <xf numFmtId="0" fontId="12" fillId="0" borderId="0" xfId="0" applyFont="1"/>
    <xf numFmtId="0" fontId="13" fillId="0" borderId="0" xfId="0" applyFont="1"/>
    <xf numFmtId="0" fontId="14" fillId="0" borderId="0" xfId="0" applyFont="1"/>
    <xf numFmtId="0" fontId="15" fillId="0" borderId="0" xfId="0" applyFont="1"/>
    <xf numFmtId="167" fontId="0" fillId="9" borderId="1" xfId="0" applyNumberFormat="1" applyFill="1" applyBorder="1"/>
    <xf numFmtId="0" fontId="11" fillId="0" borderId="0" xfId="0" applyFont="1"/>
    <xf numFmtId="0" fontId="0" fillId="0" borderId="0" xfId="0"/>
    <xf numFmtId="0" fontId="1" fillId="0" borderId="0" xfId="0" applyFont="1" applyAlignment="1">
      <alignment vertical="top" wrapText="1"/>
    </xf>
    <xf numFmtId="0" fontId="16" fillId="0" borderId="0" xfId="0" applyFont="1"/>
  </cellXfs>
  <cellStyles count="1">
    <cellStyle name="Normal" xfId="0" builtinId="0"/>
  </cellStyles>
  <dxfs count="2">
    <dxf>
      <fill>
        <patternFill patternType="solid">
          <fgColor rgb="FFE2EFDA"/>
        </patternFill>
      </fill>
    </dxf>
    <dxf>
      <fill>
        <patternFill patternType="solid">
          <fgColor rgb="FFF8CBAD"/>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theme" Target="theme/theme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styles" Target="styles.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20" Type="http://schemas.openxmlformats.org/officeDocument/2006/relationships/worksheet" Target="worksheets/sheet20.xml"/><Relationship Id="rId41" Type="http://schemas.openxmlformats.org/officeDocument/2006/relationships/worksheet" Target="worksheets/sheet4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5.jpeg"/></Relationships>
</file>

<file path=xl/drawings/_rels/drawing6.xml.rels><?xml version="1.0" encoding="UTF-8" standalone="yes"?>
<Relationships xmlns="http://schemas.openxmlformats.org/package/2006/relationships"><Relationship Id="rId1" Type="http://schemas.openxmlformats.org/officeDocument/2006/relationships/image" Target="../media/image6.jpeg"/></Relationships>
</file>

<file path=xl/drawings/_rels/drawing7.xml.rels><?xml version="1.0" encoding="UTF-8" standalone="yes"?>
<Relationships xmlns="http://schemas.openxmlformats.org/package/2006/relationships"><Relationship Id="rId1" Type="http://schemas.openxmlformats.org/officeDocument/2006/relationships/image" Target="../media/image7.jpeg"/></Relationships>
</file>

<file path=xl/drawings/_rels/drawing8.xml.rels><?xml version="1.0" encoding="UTF-8" standalone="yes"?>
<Relationships xmlns="http://schemas.openxmlformats.org/package/2006/relationships"><Relationship Id="rId1" Type="http://schemas.openxmlformats.org/officeDocument/2006/relationships/image" Target="../media/image8.jpeg"/></Relationships>
</file>

<file path=xl/drawings/_rels/drawing9.xml.rels><?xml version="1.0" encoding="UTF-8" standalone="yes"?>
<Relationships xmlns="http://schemas.openxmlformats.org/package/2006/relationships"><Relationship Id="rId1" Type="http://schemas.openxmlformats.org/officeDocument/2006/relationships/image" Target="../media/image9.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10.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11.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12.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13.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14.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15.jpeg"/></Relationships>
</file>

<file path=xl/drawings/_rels/drawing16.xml.rels><?xml version="1.0" encoding="UTF-8" standalone="yes"?>
<Relationships xmlns="http://schemas.openxmlformats.org/package/2006/relationships"><Relationship Id="rId1" Type="http://schemas.openxmlformats.org/officeDocument/2006/relationships/image" Target="../media/image16.jpeg"/></Relationships>
</file>

<file path=xl/drawings/_rels/drawing17.xml.rels><?xml version="1.0" encoding="UTF-8" standalone="yes"?>
<Relationships xmlns="http://schemas.openxmlformats.org/package/2006/relationships"><Relationship Id="rId1" Type="http://schemas.openxmlformats.org/officeDocument/2006/relationships/image" Target="../media/image17.jpeg"/></Relationships>
</file>

<file path=xl/drawings/_rels/drawing18.xml.rels><?xml version="1.0" encoding="UTF-8" standalone="yes"?>
<Relationships xmlns="http://schemas.openxmlformats.org/package/2006/relationships"><Relationship Id="rId1" Type="http://schemas.openxmlformats.org/officeDocument/2006/relationships/image" Target="../media/image18.jpeg"/></Relationships>
</file>

<file path=xl/drawings/_rels/drawing19.xml.rels><?xml version="1.0" encoding="UTF-8" standalone="yes"?>
<Relationships xmlns="http://schemas.openxmlformats.org/package/2006/relationships"><Relationship Id="rId1" Type="http://schemas.openxmlformats.org/officeDocument/2006/relationships/image" Target="../media/image19.jpeg"/></Relationships>
</file>

<file path=xl/drawings/_rels/drawing20.xml.rels><?xml version="1.0" encoding="UTF-8" standalone="yes"?>
<Relationships xmlns="http://schemas.openxmlformats.org/package/2006/relationships"><Relationship Id="rId1" Type="http://schemas.openxmlformats.org/officeDocument/2006/relationships/image" Target="../media/image20.jpeg"/></Relationships>
</file>

<file path=xl/drawings/_rels/drawing21.xml.rels><?xml version="1.0" encoding="UTF-8" standalone="yes"?>
<Relationships xmlns="http://schemas.openxmlformats.org/package/2006/relationships"><Relationship Id="rId1" Type="http://schemas.openxmlformats.org/officeDocument/2006/relationships/image" Target="../media/image21.jpeg"/></Relationships>
</file>

<file path=xl/drawings/_rels/drawing22.xml.rels><?xml version="1.0" encoding="UTF-8" standalone="yes"?>
<Relationships xmlns="http://schemas.openxmlformats.org/package/2006/relationships"><Relationship Id="rId1" Type="http://schemas.openxmlformats.org/officeDocument/2006/relationships/image" Target="../media/image22.jpeg"/></Relationships>
</file>

<file path=xl/drawings/_rels/drawing23.xml.rels><?xml version="1.0" encoding="UTF-8" standalone="yes"?>
<Relationships xmlns="http://schemas.openxmlformats.org/package/2006/relationships"><Relationship Id="rId1" Type="http://schemas.openxmlformats.org/officeDocument/2006/relationships/image" Target="../media/image23.jpeg"/></Relationships>
</file>

<file path=xl/drawings/_rels/drawing24.xml.rels><?xml version="1.0" encoding="UTF-8" standalone="yes"?>
<Relationships xmlns="http://schemas.openxmlformats.org/package/2006/relationships"><Relationship Id="rId1" Type="http://schemas.openxmlformats.org/officeDocument/2006/relationships/image" Target="../media/image24.jpeg"/></Relationships>
</file>

<file path=xl/drawings/_rels/drawing25.xml.rels><?xml version="1.0" encoding="UTF-8" standalone="yes"?>
<Relationships xmlns="http://schemas.openxmlformats.org/package/2006/relationships"><Relationship Id="rId1" Type="http://schemas.openxmlformats.org/officeDocument/2006/relationships/image" Target="../media/image25.jpeg"/></Relationships>
</file>

<file path=xl/drawings/_rels/drawing26.xml.rels><?xml version="1.0" encoding="UTF-8" standalone="yes"?>
<Relationships xmlns="http://schemas.openxmlformats.org/package/2006/relationships"><Relationship Id="rId1" Type="http://schemas.openxmlformats.org/officeDocument/2006/relationships/image" Target="../media/image26.jpeg"/></Relationships>
</file>

<file path=xl/drawings/_rels/drawing27.xml.rels><?xml version="1.0" encoding="UTF-8" standalone="yes"?>
<Relationships xmlns="http://schemas.openxmlformats.org/package/2006/relationships"><Relationship Id="rId1" Type="http://schemas.openxmlformats.org/officeDocument/2006/relationships/image" Target="../media/image27.jpeg"/></Relationships>
</file>

<file path=xl/drawings/_rels/drawing28.xml.rels><?xml version="1.0" encoding="UTF-8" standalone="yes"?>
<Relationships xmlns="http://schemas.openxmlformats.org/package/2006/relationships"><Relationship Id="rId1" Type="http://schemas.openxmlformats.org/officeDocument/2006/relationships/image" Target="../media/image28.jpeg"/></Relationships>
</file>

<file path=xl/drawings/_rels/drawing29.xml.rels><?xml version="1.0" encoding="UTF-8" standalone="yes"?>
<Relationships xmlns="http://schemas.openxmlformats.org/package/2006/relationships"><Relationship Id="rId1" Type="http://schemas.openxmlformats.org/officeDocument/2006/relationships/image" Target="../media/image29.jpeg"/></Relationships>
</file>

<file path=xl/drawings/_rels/drawing30.xml.rels><?xml version="1.0" encoding="UTF-8" standalone="yes"?>
<Relationships xmlns="http://schemas.openxmlformats.org/package/2006/relationships"><Relationship Id="rId1" Type="http://schemas.openxmlformats.org/officeDocument/2006/relationships/image" Target="../media/image30.jpeg"/></Relationships>
</file>

<file path=xl/drawings/_rels/drawing31.xml.rels><?xml version="1.0" encoding="UTF-8" standalone="yes"?>
<Relationships xmlns="http://schemas.openxmlformats.org/package/2006/relationships"><Relationship Id="rId1" Type="http://schemas.openxmlformats.org/officeDocument/2006/relationships/image" Target="../media/image31.jpeg"/></Relationships>
</file>

<file path=xl/drawings/_rels/drawing32.xml.rels><?xml version="1.0" encoding="UTF-8" standalone="yes"?>
<Relationships xmlns="http://schemas.openxmlformats.org/package/2006/relationships"><Relationship Id="rId1" Type="http://schemas.openxmlformats.org/officeDocument/2006/relationships/image" Target="../media/image32.jpeg"/></Relationships>
</file>

<file path=xl/drawings/_rels/drawing33.xml.rels><?xml version="1.0" encoding="UTF-8" standalone="yes"?>
<Relationships xmlns="http://schemas.openxmlformats.org/package/2006/relationships"><Relationship Id="rId1" Type="http://schemas.openxmlformats.org/officeDocument/2006/relationships/image" Target="../media/image33.jpeg"/></Relationships>
</file>

<file path=xl/drawings/_rels/drawing34.xml.rels><?xml version="1.0" encoding="UTF-8" standalone="yes"?>
<Relationships xmlns="http://schemas.openxmlformats.org/package/2006/relationships"><Relationship Id="rId1" Type="http://schemas.openxmlformats.org/officeDocument/2006/relationships/image" Target="../media/image34.jpeg"/></Relationships>
</file>

<file path=xl/drawings/_rels/drawing35.xml.rels><?xml version="1.0" encoding="UTF-8" standalone="yes"?>
<Relationships xmlns="http://schemas.openxmlformats.org/package/2006/relationships"><Relationship Id="rId1" Type="http://schemas.openxmlformats.org/officeDocument/2006/relationships/image" Target="../media/image35.jpeg"/></Relationships>
</file>

<file path=xl/drawings/_rels/drawing36.xml.rels><?xml version="1.0" encoding="UTF-8" standalone="yes"?>
<Relationships xmlns="http://schemas.openxmlformats.org/package/2006/relationships"><Relationship Id="rId1" Type="http://schemas.openxmlformats.org/officeDocument/2006/relationships/image" Target="../media/image36.jpeg"/></Relationships>
</file>

<file path=xl/drawings/_rels/drawing37.xml.rels><?xml version="1.0" encoding="UTF-8" standalone="yes"?>
<Relationships xmlns="http://schemas.openxmlformats.org/package/2006/relationships"><Relationship Id="rId1" Type="http://schemas.openxmlformats.org/officeDocument/2006/relationships/image" Target="../media/image37.jpeg"/></Relationships>
</file>

<file path=xl/drawings/_rels/drawing38.xml.rels><?xml version="1.0" encoding="UTF-8" standalone="yes"?>
<Relationships xmlns="http://schemas.openxmlformats.org/package/2006/relationships"><Relationship Id="rId1" Type="http://schemas.openxmlformats.org/officeDocument/2006/relationships/image" Target="../media/image38.jpeg"/></Relationships>
</file>

<file path=xl/drawings/_rels/drawing39.xml.rels><?xml version="1.0" encoding="UTF-8" standalone="yes"?>
<Relationships xmlns="http://schemas.openxmlformats.org/package/2006/relationships"><Relationship Id="rId1" Type="http://schemas.openxmlformats.org/officeDocument/2006/relationships/image" Target="../media/image39.jpeg"/></Relationships>
</file>

<file path=xl/drawings/drawing1.xml><?xml version="1.0" encoding="utf-8"?>
<xdr:wsDr xmlns:xdr="http://schemas.openxmlformats.org/drawingml/2006/spreadsheetDrawing" xmlns:a="http://schemas.openxmlformats.org/drawingml/2006/main">
  <xdr:oneCellAnchor>
    <xdr:from>
      <xdr:col>7</xdr:col>
      <xdr:colOff>0</xdr:colOff>
      <xdr:row>0</xdr:row>
      <xdr:rowOff>0</xdr:rowOff>
    </xdr:from>
    <xdr:ext cx="4000500" cy="2990850"/>
    <xdr:pic>
      <xdr:nvPicPr>
        <xdr:cNvPr id="2" name="Image 1" descr="Picture">
          <a:extLst>
            <a:ext uri="{FF2B5EF4-FFF2-40B4-BE49-F238E27FC236}">
              <a16:creationId xmlns:a16="http://schemas.microsoft.com/office/drawing/2014/main" id="{00000000-0008-0000-02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7</xdr:col>
      <xdr:colOff>0</xdr:colOff>
      <xdr:row>0</xdr:row>
      <xdr:rowOff>0</xdr:rowOff>
    </xdr:from>
    <xdr:ext cx="4000500" cy="2667000"/>
    <xdr:pic>
      <xdr:nvPicPr>
        <xdr:cNvPr id="2" name="Image 1" descr="Picture">
          <a:extLst>
            <a:ext uri="{FF2B5EF4-FFF2-40B4-BE49-F238E27FC236}">
              <a16:creationId xmlns:a16="http://schemas.microsoft.com/office/drawing/2014/main" id="{00000000-0008-0000-03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7</xdr:col>
      <xdr:colOff>0</xdr:colOff>
      <xdr:row>0</xdr:row>
      <xdr:rowOff>0</xdr:rowOff>
    </xdr:from>
    <xdr:ext cx="4000500" cy="2667000"/>
    <xdr:pic>
      <xdr:nvPicPr>
        <xdr:cNvPr id="2" name="Image 1" descr="Picture">
          <a:extLst>
            <a:ext uri="{FF2B5EF4-FFF2-40B4-BE49-F238E27FC236}">
              <a16:creationId xmlns:a16="http://schemas.microsoft.com/office/drawing/2014/main" id="{00000000-0008-0000-04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7</xdr:col>
      <xdr:colOff>0</xdr:colOff>
      <xdr:row>0</xdr:row>
      <xdr:rowOff>0</xdr:rowOff>
    </xdr:from>
    <xdr:ext cx="4000500" cy="2724150"/>
    <xdr:pic>
      <xdr:nvPicPr>
        <xdr:cNvPr id="2" name="Image 1" descr="Picture">
          <a:extLst>
            <a:ext uri="{FF2B5EF4-FFF2-40B4-BE49-F238E27FC236}">
              <a16:creationId xmlns:a16="http://schemas.microsoft.com/office/drawing/2014/main" id="{00000000-0008-0000-05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7</xdr:col>
      <xdr:colOff>0</xdr:colOff>
      <xdr:row>0</xdr:row>
      <xdr:rowOff>0</xdr:rowOff>
    </xdr:from>
    <xdr:ext cx="4000500" cy="2990850"/>
    <xdr:pic>
      <xdr:nvPicPr>
        <xdr:cNvPr id="2" name="Image 1" descr="Picture">
          <a:extLst>
            <a:ext uri="{FF2B5EF4-FFF2-40B4-BE49-F238E27FC236}">
              <a16:creationId xmlns:a16="http://schemas.microsoft.com/office/drawing/2014/main" id="{00000000-0008-0000-06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7</xdr:col>
      <xdr:colOff>0</xdr:colOff>
      <xdr:row>0</xdr:row>
      <xdr:rowOff>0</xdr:rowOff>
    </xdr:from>
    <xdr:ext cx="4000500" cy="2667000"/>
    <xdr:pic>
      <xdr:nvPicPr>
        <xdr:cNvPr id="2" name="Image 1" descr="Picture">
          <a:extLst>
            <a:ext uri="{FF2B5EF4-FFF2-40B4-BE49-F238E27FC236}">
              <a16:creationId xmlns:a16="http://schemas.microsoft.com/office/drawing/2014/main" id="{00000000-0008-0000-07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7</xdr:col>
      <xdr:colOff>0</xdr:colOff>
      <xdr:row>0</xdr:row>
      <xdr:rowOff>0</xdr:rowOff>
    </xdr:from>
    <xdr:ext cx="4000500" cy="2600325"/>
    <xdr:pic>
      <xdr:nvPicPr>
        <xdr:cNvPr id="2" name="Image 1" descr="Picture">
          <a:extLst>
            <a:ext uri="{FF2B5EF4-FFF2-40B4-BE49-F238E27FC236}">
              <a16:creationId xmlns:a16="http://schemas.microsoft.com/office/drawing/2014/main" id="{00000000-0008-0000-08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7</xdr:col>
      <xdr:colOff>0</xdr:colOff>
      <xdr:row>0</xdr:row>
      <xdr:rowOff>0</xdr:rowOff>
    </xdr:from>
    <xdr:ext cx="4000500" cy="2990850"/>
    <xdr:pic>
      <xdr:nvPicPr>
        <xdr:cNvPr id="2" name="Image 1" descr="Picture">
          <a:extLst>
            <a:ext uri="{FF2B5EF4-FFF2-40B4-BE49-F238E27FC236}">
              <a16:creationId xmlns:a16="http://schemas.microsoft.com/office/drawing/2014/main" id="{00000000-0008-0000-09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7</xdr:col>
      <xdr:colOff>0</xdr:colOff>
      <xdr:row>0</xdr:row>
      <xdr:rowOff>0</xdr:rowOff>
    </xdr:from>
    <xdr:ext cx="4000500" cy="2667000"/>
    <xdr:pic>
      <xdr:nvPicPr>
        <xdr:cNvPr id="2" name="Image 1" descr="Picture">
          <a:extLst>
            <a:ext uri="{FF2B5EF4-FFF2-40B4-BE49-F238E27FC236}">
              <a16:creationId xmlns:a16="http://schemas.microsoft.com/office/drawing/2014/main" id="{00000000-0008-0000-0A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7</xdr:col>
      <xdr:colOff>0</xdr:colOff>
      <xdr:row>0</xdr:row>
      <xdr:rowOff>0</xdr:rowOff>
    </xdr:from>
    <xdr:ext cx="4000500" cy="2667000"/>
    <xdr:pic>
      <xdr:nvPicPr>
        <xdr:cNvPr id="2" name="Image 1" descr="Picture">
          <a:extLst>
            <a:ext uri="{FF2B5EF4-FFF2-40B4-BE49-F238E27FC236}">
              <a16:creationId xmlns:a16="http://schemas.microsoft.com/office/drawing/2014/main" id="{00000000-0008-0000-0B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7</xdr:col>
      <xdr:colOff>0</xdr:colOff>
      <xdr:row>0</xdr:row>
      <xdr:rowOff>0</xdr:rowOff>
    </xdr:from>
    <xdr:ext cx="4000500" cy="2667000"/>
    <xdr:pic>
      <xdr:nvPicPr>
        <xdr:cNvPr id="2" name="Image 1" descr="Picture">
          <a:extLst>
            <a:ext uri="{FF2B5EF4-FFF2-40B4-BE49-F238E27FC236}">
              <a16:creationId xmlns:a16="http://schemas.microsoft.com/office/drawing/2014/main" id="{00000000-0008-0000-0C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oneCellAnchor>
    <xdr:from>
      <xdr:col>7</xdr:col>
      <xdr:colOff>0</xdr:colOff>
      <xdr:row>0</xdr:row>
      <xdr:rowOff>0</xdr:rowOff>
    </xdr:from>
    <xdr:ext cx="4000500" cy="2667000"/>
    <xdr:pic>
      <xdr:nvPicPr>
        <xdr:cNvPr id="2" name="Image 1" descr="Picture">
          <a:extLst>
            <a:ext uri="{FF2B5EF4-FFF2-40B4-BE49-F238E27FC236}">
              <a16:creationId xmlns:a16="http://schemas.microsoft.com/office/drawing/2014/main" id="{00000000-0008-0000-0D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3.xml><?xml version="1.0" encoding="utf-8"?>
<xdr:wsDr xmlns:xdr="http://schemas.openxmlformats.org/drawingml/2006/spreadsheetDrawing" xmlns:a="http://schemas.openxmlformats.org/drawingml/2006/main">
  <xdr:oneCellAnchor>
    <xdr:from>
      <xdr:col>7</xdr:col>
      <xdr:colOff>0</xdr:colOff>
      <xdr:row>0</xdr:row>
      <xdr:rowOff>0</xdr:rowOff>
    </xdr:from>
    <xdr:ext cx="4000500" cy="2667000"/>
    <xdr:pic>
      <xdr:nvPicPr>
        <xdr:cNvPr id="2" name="Image 1" descr="Picture">
          <a:extLst>
            <a:ext uri="{FF2B5EF4-FFF2-40B4-BE49-F238E27FC236}">
              <a16:creationId xmlns:a16="http://schemas.microsoft.com/office/drawing/2014/main" id="{00000000-0008-0000-0E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4.xml><?xml version="1.0" encoding="utf-8"?>
<xdr:wsDr xmlns:xdr="http://schemas.openxmlformats.org/drawingml/2006/spreadsheetDrawing" xmlns:a="http://schemas.openxmlformats.org/drawingml/2006/main">
  <xdr:oneCellAnchor>
    <xdr:from>
      <xdr:col>7</xdr:col>
      <xdr:colOff>0</xdr:colOff>
      <xdr:row>0</xdr:row>
      <xdr:rowOff>0</xdr:rowOff>
    </xdr:from>
    <xdr:ext cx="4000500" cy="3086100"/>
    <xdr:pic>
      <xdr:nvPicPr>
        <xdr:cNvPr id="2" name="Image 1" descr="Picture">
          <a:extLst>
            <a:ext uri="{FF2B5EF4-FFF2-40B4-BE49-F238E27FC236}">
              <a16:creationId xmlns:a16="http://schemas.microsoft.com/office/drawing/2014/main" id="{00000000-0008-0000-0F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5.xml><?xml version="1.0" encoding="utf-8"?>
<xdr:wsDr xmlns:xdr="http://schemas.openxmlformats.org/drawingml/2006/spreadsheetDrawing" xmlns:a="http://schemas.openxmlformats.org/drawingml/2006/main">
  <xdr:oneCellAnchor>
    <xdr:from>
      <xdr:col>7</xdr:col>
      <xdr:colOff>0</xdr:colOff>
      <xdr:row>0</xdr:row>
      <xdr:rowOff>0</xdr:rowOff>
    </xdr:from>
    <xdr:ext cx="4000500" cy="2667000"/>
    <xdr:pic>
      <xdr:nvPicPr>
        <xdr:cNvPr id="2" name="Image 1" descr="Picture">
          <a:extLst>
            <a:ext uri="{FF2B5EF4-FFF2-40B4-BE49-F238E27FC236}">
              <a16:creationId xmlns:a16="http://schemas.microsoft.com/office/drawing/2014/main" id="{00000000-0008-0000-1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6.xml><?xml version="1.0" encoding="utf-8"?>
<xdr:wsDr xmlns:xdr="http://schemas.openxmlformats.org/drawingml/2006/spreadsheetDrawing" xmlns:a="http://schemas.openxmlformats.org/drawingml/2006/main">
  <xdr:oneCellAnchor>
    <xdr:from>
      <xdr:col>7</xdr:col>
      <xdr:colOff>0</xdr:colOff>
      <xdr:row>0</xdr:row>
      <xdr:rowOff>0</xdr:rowOff>
    </xdr:from>
    <xdr:ext cx="4000500" cy="2667000"/>
    <xdr:pic>
      <xdr:nvPicPr>
        <xdr:cNvPr id="2" name="Image 1" descr="Picture">
          <a:extLst>
            <a:ext uri="{FF2B5EF4-FFF2-40B4-BE49-F238E27FC236}">
              <a16:creationId xmlns:a16="http://schemas.microsoft.com/office/drawing/2014/main" id="{00000000-0008-0000-11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7.xml><?xml version="1.0" encoding="utf-8"?>
<xdr:wsDr xmlns:xdr="http://schemas.openxmlformats.org/drawingml/2006/spreadsheetDrawing" xmlns:a="http://schemas.openxmlformats.org/drawingml/2006/main">
  <xdr:oneCellAnchor>
    <xdr:from>
      <xdr:col>7</xdr:col>
      <xdr:colOff>0</xdr:colOff>
      <xdr:row>0</xdr:row>
      <xdr:rowOff>0</xdr:rowOff>
    </xdr:from>
    <xdr:ext cx="4000500" cy="2990850"/>
    <xdr:pic>
      <xdr:nvPicPr>
        <xdr:cNvPr id="2" name="Image 1" descr="Picture">
          <a:extLst>
            <a:ext uri="{FF2B5EF4-FFF2-40B4-BE49-F238E27FC236}">
              <a16:creationId xmlns:a16="http://schemas.microsoft.com/office/drawing/2014/main" id="{00000000-0008-0000-12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8.xml><?xml version="1.0" encoding="utf-8"?>
<xdr:wsDr xmlns:xdr="http://schemas.openxmlformats.org/drawingml/2006/spreadsheetDrawing" xmlns:a="http://schemas.openxmlformats.org/drawingml/2006/main">
  <xdr:oneCellAnchor>
    <xdr:from>
      <xdr:col>7</xdr:col>
      <xdr:colOff>0</xdr:colOff>
      <xdr:row>0</xdr:row>
      <xdr:rowOff>0</xdr:rowOff>
    </xdr:from>
    <xdr:ext cx="4000500" cy="3009900"/>
    <xdr:pic>
      <xdr:nvPicPr>
        <xdr:cNvPr id="2" name="Image 1" descr="Picture">
          <a:extLst>
            <a:ext uri="{FF2B5EF4-FFF2-40B4-BE49-F238E27FC236}">
              <a16:creationId xmlns:a16="http://schemas.microsoft.com/office/drawing/2014/main" id="{00000000-0008-0000-13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9.xml><?xml version="1.0" encoding="utf-8"?>
<xdr:wsDr xmlns:xdr="http://schemas.openxmlformats.org/drawingml/2006/spreadsheetDrawing" xmlns:a="http://schemas.openxmlformats.org/drawingml/2006/main">
  <xdr:oneCellAnchor>
    <xdr:from>
      <xdr:col>7</xdr:col>
      <xdr:colOff>0</xdr:colOff>
      <xdr:row>0</xdr:row>
      <xdr:rowOff>0</xdr:rowOff>
    </xdr:from>
    <xdr:ext cx="4000500" cy="2990850"/>
    <xdr:pic>
      <xdr:nvPicPr>
        <xdr:cNvPr id="2" name="Image 1" descr="Picture">
          <a:extLst>
            <a:ext uri="{FF2B5EF4-FFF2-40B4-BE49-F238E27FC236}">
              <a16:creationId xmlns:a16="http://schemas.microsoft.com/office/drawing/2014/main" id="{00000000-0008-0000-14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20.xml><?xml version="1.0" encoding="utf-8"?>
<xdr:wsDr xmlns:xdr="http://schemas.openxmlformats.org/drawingml/2006/spreadsheetDrawing" xmlns:a="http://schemas.openxmlformats.org/drawingml/2006/main">
  <xdr:oneCellAnchor>
    <xdr:from>
      <xdr:col>7</xdr:col>
      <xdr:colOff>0</xdr:colOff>
      <xdr:row>0</xdr:row>
      <xdr:rowOff>0</xdr:rowOff>
    </xdr:from>
    <xdr:ext cx="4000500" cy="2667000"/>
    <xdr:pic>
      <xdr:nvPicPr>
        <xdr:cNvPr id="2" name="Image 1" descr="Picture">
          <a:extLst>
            <a:ext uri="{FF2B5EF4-FFF2-40B4-BE49-F238E27FC236}">
              <a16:creationId xmlns:a16="http://schemas.microsoft.com/office/drawing/2014/main" id="{00000000-0008-0000-15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21.xml><?xml version="1.0" encoding="utf-8"?>
<xdr:wsDr xmlns:xdr="http://schemas.openxmlformats.org/drawingml/2006/spreadsheetDrawing" xmlns:a="http://schemas.openxmlformats.org/drawingml/2006/main">
  <xdr:oneCellAnchor>
    <xdr:from>
      <xdr:col>7</xdr:col>
      <xdr:colOff>0</xdr:colOff>
      <xdr:row>0</xdr:row>
      <xdr:rowOff>0</xdr:rowOff>
    </xdr:from>
    <xdr:ext cx="4000500" cy="2990850"/>
    <xdr:pic>
      <xdr:nvPicPr>
        <xdr:cNvPr id="2" name="Image 1" descr="Picture">
          <a:extLst>
            <a:ext uri="{FF2B5EF4-FFF2-40B4-BE49-F238E27FC236}">
              <a16:creationId xmlns:a16="http://schemas.microsoft.com/office/drawing/2014/main" id="{00000000-0008-0000-16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22.xml><?xml version="1.0" encoding="utf-8"?>
<xdr:wsDr xmlns:xdr="http://schemas.openxmlformats.org/drawingml/2006/spreadsheetDrawing" xmlns:a="http://schemas.openxmlformats.org/drawingml/2006/main">
  <xdr:oneCellAnchor>
    <xdr:from>
      <xdr:col>7</xdr:col>
      <xdr:colOff>0</xdr:colOff>
      <xdr:row>0</xdr:row>
      <xdr:rowOff>0</xdr:rowOff>
    </xdr:from>
    <xdr:ext cx="4000500" cy="2247900"/>
    <xdr:pic>
      <xdr:nvPicPr>
        <xdr:cNvPr id="2" name="Image 1" descr="Picture">
          <a:extLst>
            <a:ext uri="{FF2B5EF4-FFF2-40B4-BE49-F238E27FC236}">
              <a16:creationId xmlns:a16="http://schemas.microsoft.com/office/drawing/2014/main" id="{00000000-0008-0000-17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23.xml><?xml version="1.0" encoding="utf-8"?>
<xdr:wsDr xmlns:xdr="http://schemas.openxmlformats.org/drawingml/2006/spreadsheetDrawing" xmlns:a="http://schemas.openxmlformats.org/drawingml/2006/main">
  <xdr:oneCellAnchor>
    <xdr:from>
      <xdr:col>7</xdr:col>
      <xdr:colOff>0</xdr:colOff>
      <xdr:row>0</xdr:row>
      <xdr:rowOff>0</xdr:rowOff>
    </xdr:from>
    <xdr:ext cx="4000500" cy="2667000"/>
    <xdr:pic>
      <xdr:nvPicPr>
        <xdr:cNvPr id="2" name="Image 1" descr="Picture">
          <a:extLst>
            <a:ext uri="{FF2B5EF4-FFF2-40B4-BE49-F238E27FC236}">
              <a16:creationId xmlns:a16="http://schemas.microsoft.com/office/drawing/2014/main" id="{00000000-0008-0000-18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24.xml><?xml version="1.0" encoding="utf-8"?>
<xdr:wsDr xmlns:xdr="http://schemas.openxmlformats.org/drawingml/2006/spreadsheetDrawing" xmlns:a="http://schemas.openxmlformats.org/drawingml/2006/main">
  <xdr:oneCellAnchor>
    <xdr:from>
      <xdr:col>7</xdr:col>
      <xdr:colOff>0</xdr:colOff>
      <xdr:row>0</xdr:row>
      <xdr:rowOff>0</xdr:rowOff>
    </xdr:from>
    <xdr:ext cx="4000500" cy="2667000"/>
    <xdr:pic>
      <xdr:nvPicPr>
        <xdr:cNvPr id="2" name="Image 1" descr="Picture">
          <a:extLst>
            <a:ext uri="{FF2B5EF4-FFF2-40B4-BE49-F238E27FC236}">
              <a16:creationId xmlns:a16="http://schemas.microsoft.com/office/drawing/2014/main" id="{00000000-0008-0000-19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25.xml><?xml version="1.0" encoding="utf-8"?>
<xdr:wsDr xmlns:xdr="http://schemas.openxmlformats.org/drawingml/2006/spreadsheetDrawing" xmlns:a="http://schemas.openxmlformats.org/drawingml/2006/main">
  <xdr:oneCellAnchor>
    <xdr:from>
      <xdr:col>7</xdr:col>
      <xdr:colOff>0</xdr:colOff>
      <xdr:row>0</xdr:row>
      <xdr:rowOff>0</xdr:rowOff>
    </xdr:from>
    <xdr:ext cx="4000500" cy="2990850"/>
    <xdr:pic>
      <xdr:nvPicPr>
        <xdr:cNvPr id="2" name="Image 1" descr="Picture">
          <a:extLst>
            <a:ext uri="{FF2B5EF4-FFF2-40B4-BE49-F238E27FC236}">
              <a16:creationId xmlns:a16="http://schemas.microsoft.com/office/drawing/2014/main" id="{00000000-0008-0000-1A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26.xml><?xml version="1.0" encoding="utf-8"?>
<xdr:wsDr xmlns:xdr="http://schemas.openxmlformats.org/drawingml/2006/spreadsheetDrawing" xmlns:a="http://schemas.openxmlformats.org/drawingml/2006/main">
  <xdr:oneCellAnchor>
    <xdr:from>
      <xdr:col>7</xdr:col>
      <xdr:colOff>0</xdr:colOff>
      <xdr:row>0</xdr:row>
      <xdr:rowOff>0</xdr:rowOff>
    </xdr:from>
    <xdr:ext cx="4000500" cy="2667000"/>
    <xdr:pic>
      <xdr:nvPicPr>
        <xdr:cNvPr id="2" name="Image 1" descr="Picture">
          <a:extLst>
            <a:ext uri="{FF2B5EF4-FFF2-40B4-BE49-F238E27FC236}">
              <a16:creationId xmlns:a16="http://schemas.microsoft.com/office/drawing/2014/main" id="{00000000-0008-0000-1B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27.xml><?xml version="1.0" encoding="utf-8"?>
<xdr:wsDr xmlns:xdr="http://schemas.openxmlformats.org/drawingml/2006/spreadsheetDrawing" xmlns:a="http://schemas.openxmlformats.org/drawingml/2006/main">
  <xdr:oneCellAnchor>
    <xdr:from>
      <xdr:col>7</xdr:col>
      <xdr:colOff>0</xdr:colOff>
      <xdr:row>0</xdr:row>
      <xdr:rowOff>0</xdr:rowOff>
    </xdr:from>
    <xdr:ext cx="4000500" cy="2667000"/>
    <xdr:pic>
      <xdr:nvPicPr>
        <xdr:cNvPr id="2" name="Image 1" descr="Picture">
          <a:extLst>
            <a:ext uri="{FF2B5EF4-FFF2-40B4-BE49-F238E27FC236}">
              <a16:creationId xmlns:a16="http://schemas.microsoft.com/office/drawing/2014/main" id="{00000000-0008-0000-1C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28.xml><?xml version="1.0" encoding="utf-8"?>
<xdr:wsDr xmlns:xdr="http://schemas.openxmlformats.org/drawingml/2006/spreadsheetDrawing" xmlns:a="http://schemas.openxmlformats.org/drawingml/2006/main">
  <xdr:oneCellAnchor>
    <xdr:from>
      <xdr:col>7</xdr:col>
      <xdr:colOff>0</xdr:colOff>
      <xdr:row>0</xdr:row>
      <xdr:rowOff>0</xdr:rowOff>
    </xdr:from>
    <xdr:ext cx="4000500" cy="2857500"/>
    <xdr:pic>
      <xdr:nvPicPr>
        <xdr:cNvPr id="2" name="Image 1" descr="Picture">
          <a:extLst>
            <a:ext uri="{FF2B5EF4-FFF2-40B4-BE49-F238E27FC236}">
              <a16:creationId xmlns:a16="http://schemas.microsoft.com/office/drawing/2014/main" id="{00000000-0008-0000-1D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29.xml><?xml version="1.0" encoding="utf-8"?>
<xdr:wsDr xmlns:xdr="http://schemas.openxmlformats.org/drawingml/2006/spreadsheetDrawing" xmlns:a="http://schemas.openxmlformats.org/drawingml/2006/main">
  <xdr:oneCellAnchor>
    <xdr:from>
      <xdr:col>7</xdr:col>
      <xdr:colOff>0</xdr:colOff>
      <xdr:row>0</xdr:row>
      <xdr:rowOff>0</xdr:rowOff>
    </xdr:from>
    <xdr:ext cx="4000500" cy="2990850"/>
    <xdr:pic>
      <xdr:nvPicPr>
        <xdr:cNvPr id="2" name="Image 1" descr="Picture">
          <a:extLst>
            <a:ext uri="{FF2B5EF4-FFF2-40B4-BE49-F238E27FC236}">
              <a16:creationId xmlns:a16="http://schemas.microsoft.com/office/drawing/2014/main" id="{00000000-0008-0000-1E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30.xml><?xml version="1.0" encoding="utf-8"?>
<xdr:wsDr xmlns:xdr="http://schemas.openxmlformats.org/drawingml/2006/spreadsheetDrawing" xmlns:a="http://schemas.openxmlformats.org/drawingml/2006/main">
  <xdr:oneCellAnchor>
    <xdr:from>
      <xdr:col>7</xdr:col>
      <xdr:colOff>0</xdr:colOff>
      <xdr:row>0</xdr:row>
      <xdr:rowOff>0</xdr:rowOff>
    </xdr:from>
    <xdr:ext cx="4000500" cy="2667000"/>
    <xdr:pic>
      <xdr:nvPicPr>
        <xdr:cNvPr id="2" name="Image 1" descr="Picture">
          <a:extLst>
            <a:ext uri="{FF2B5EF4-FFF2-40B4-BE49-F238E27FC236}">
              <a16:creationId xmlns:a16="http://schemas.microsoft.com/office/drawing/2014/main" id="{00000000-0008-0000-1F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31.xml><?xml version="1.0" encoding="utf-8"?>
<xdr:wsDr xmlns:xdr="http://schemas.openxmlformats.org/drawingml/2006/spreadsheetDrawing" xmlns:a="http://schemas.openxmlformats.org/drawingml/2006/main">
  <xdr:oneCellAnchor>
    <xdr:from>
      <xdr:col>7</xdr:col>
      <xdr:colOff>0</xdr:colOff>
      <xdr:row>0</xdr:row>
      <xdr:rowOff>0</xdr:rowOff>
    </xdr:from>
    <xdr:ext cx="4000500" cy="2990850"/>
    <xdr:pic>
      <xdr:nvPicPr>
        <xdr:cNvPr id="2" name="Image 1" descr="Picture">
          <a:extLst>
            <a:ext uri="{FF2B5EF4-FFF2-40B4-BE49-F238E27FC236}">
              <a16:creationId xmlns:a16="http://schemas.microsoft.com/office/drawing/2014/main" id="{00000000-0008-0000-2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32.xml><?xml version="1.0" encoding="utf-8"?>
<xdr:wsDr xmlns:xdr="http://schemas.openxmlformats.org/drawingml/2006/spreadsheetDrawing" xmlns:a="http://schemas.openxmlformats.org/drawingml/2006/main">
  <xdr:oneCellAnchor>
    <xdr:from>
      <xdr:col>7</xdr:col>
      <xdr:colOff>0</xdr:colOff>
      <xdr:row>0</xdr:row>
      <xdr:rowOff>0</xdr:rowOff>
    </xdr:from>
    <xdr:ext cx="4000500" cy="2667000"/>
    <xdr:pic>
      <xdr:nvPicPr>
        <xdr:cNvPr id="2" name="Image 1" descr="Picture">
          <a:extLst>
            <a:ext uri="{FF2B5EF4-FFF2-40B4-BE49-F238E27FC236}">
              <a16:creationId xmlns:a16="http://schemas.microsoft.com/office/drawing/2014/main" id="{00000000-0008-0000-21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33.xml><?xml version="1.0" encoding="utf-8"?>
<xdr:wsDr xmlns:xdr="http://schemas.openxmlformats.org/drawingml/2006/spreadsheetDrawing" xmlns:a="http://schemas.openxmlformats.org/drawingml/2006/main">
  <xdr:oneCellAnchor>
    <xdr:from>
      <xdr:col>7</xdr:col>
      <xdr:colOff>0</xdr:colOff>
      <xdr:row>0</xdr:row>
      <xdr:rowOff>0</xdr:rowOff>
    </xdr:from>
    <xdr:ext cx="4000500" cy="2667000"/>
    <xdr:pic>
      <xdr:nvPicPr>
        <xdr:cNvPr id="2" name="Image 1" descr="Picture">
          <a:extLst>
            <a:ext uri="{FF2B5EF4-FFF2-40B4-BE49-F238E27FC236}">
              <a16:creationId xmlns:a16="http://schemas.microsoft.com/office/drawing/2014/main" id="{00000000-0008-0000-22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34.xml><?xml version="1.0" encoding="utf-8"?>
<xdr:wsDr xmlns:xdr="http://schemas.openxmlformats.org/drawingml/2006/spreadsheetDrawing" xmlns:a="http://schemas.openxmlformats.org/drawingml/2006/main">
  <xdr:oneCellAnchor>
    <xdr:from>
      <xdr:col>7</xdr:col>
      <xdr:colOff>0</xdr:colOff>
      <xdr:row>0</xdr:row>
      <xdr:rowOff>0</xdr:rowOff>
    </xdr:from>
    <xdr:ext cx="4000500" cy="3086100"/>
    <xdr:pic>
      <xdr:nvPicPr>
        <xdr:cNvPr id="2" name="Image 1" descr="Picture">
          <a:extLst>
            <a:ext uri="{FF2B5EF4-FFF2-40B4-BE49-F238E27FC236}">
              <a16:creationId xmlns:a16="http://schemas.microsoft.com/office/drawing/2014/main" id="{00000000-0008-0000-23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35.xml><?xml version="1.0" encoding="utf-8"?>
<xdr:wsDr xmlns:xdr="http://schemas.openxmlformats.org/drawingml/2006/spreadsheetDrawing" xmlns:a="http://schemas.openxmlformats.org/drawingml/2006/main">
  <xdr:oneCellAnchor>
    <xdr:from>
      <xdr:col>7</xdr:col>
      <xdr:colOff>0</xdr:colOff>
      <xdr:row>0</xdr:row>
      <xdr:rowOff>0</xdr:rowOff>
    </xdr:from>
    <xdr:ext cx="4000500" cy="3086100"/>
    <xdr:pic>
      <xdr:nvPicPr>
        <xdr:cNvPr id="2" name="Image 1" descr="Picture">
          <a:extLst>
            <a:ext uri="{FF2B5EF4-FFF2-40B4-BE49-F238E27FC236}">
              <a16:creationId xmlns:a16="http://schemas.microsoft.com/office/drawing/2014/main" id="{00000000-0008-0000-24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36.xml><?xml version="1.0" encoding="utf-8"?>
<xdr:wsDr xmlns:xdr="http://schemas.openxmlformats.org/drawingml/2006/spreadsheetDrawing" xmlns:a="http://schemas.openxmlformats.org/drawingml/2006/main">
  <xdr:oneCellAnchor>
    <xdr:from>
      <xdr:col>7</xdr:col>
      <xdr:colOff>0</xdr:colOff>
      <xdr:row>0</xdr:row>
      <xdr:rowOff>0</xdr:rowOff>
    </xdr:from>
    <xdr:ext cx="4000500" cy="2743200"/>
    <xdr:pic>
      <xdr:nvPicPr>
        <xdr:cNvPr id="2" name="Image 1" descr="Picture">
          <a:extLst>
            <a:ext uri="{FF2B5EF4-FFF2-40B4-BE49-F238E27FC236}">
              <a16:creationId xmlns:a16="http://schemas.microsoft.com/office/drawing/2014/main" id="{00000000-0008-0000-25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37.xml><?xml version="1.0" encoding="utf-8"?>
<xdr:wsDr xmlns:xdr="http://schemas.openxmlformats.org/drawingml/2006/spreadsheetDrawing" xmlns:a="http://schemas.openxmlformats.org/drawingml/2006/main">
  <xdr:oneCellAnchor>
    <xdr:from>
      <xdr:col>7</xdr:col>
      <xdr:colOff>0</xdr:colOff>
      <xdr:row>0</xdr:row>
      <xdr:rowOff>0</xdr:rowOff>
    </xdr:from>
    <xdr:ext cx="4000500" cy="2667000"/>
    <xdr:pic>
      <xdr:nvPicPr>
        <xdr:cNvPr id="2" name="Image 1" descr="Picture">
          <a:extLst>
            <a:ext uri="{FF2B5EF4-FFF2-40B4-BE49-F238E27FC236}">
              <a16:creationId xmlns:a16="http://schemas.microsoft.com/office/drawing/2014/main" id="{00000000-0008-0000-26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38.xml><?xml version="1.0" encoding="utf-8"?>
<xdr:wsDr xmlns:xdr="http://schemas.openxmlformats.org/drawingml/2006/spreadsheetDrawing" xmlns:a="http://schemas.openxmlformats.org/drawingml/2006/main">
  <xdr:oneCellAnchor>
    <xdr:from>
      <xdr:col>7</xdr:col>
      <xdr:colOff>0</xdr:colOff>
      <xdr:row>0</xdr:row>
      <xdr:rowOff>0</xdr:rowOff>
    </xdr:from>
    <xdr:ext cx="4000500" cy="2667000"/>
    <xdr:pic>
      <xdr:nvPicPr>
        <xdr:cNvPr id="2" name="Image 1" descr="Picture">
          <a:extLst>
            <a:ext uri="{FF2B5EF4-FFF2-40B4-BE49-F238E27FC236}">
              <a16:creationId xmlns:a16="http://schemas.microsoft.com/office/drawing/2014/main" id="{00000000-0008-0000-27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39.xml><?xml version="1.0" encoding="utf-8"?>
<xdr:wsDr xmlns:xdr="http://schemas.openxmlformats.org/drawingml/2006/spreadsheetDrawing" xmlns:a="http://schemas.openxmlformats.org/drawingml/2006/main">
  <xdr:oneCellAnchor>
    <xdr:from>
      <xdr:col>7</xdr:col>
      <xdr:colOff>0</xdr:colOff>
      <xdr:row>0</xdr:row>
      <xdr:rowOff>0</xdr:rowOff>
    </xdr:from>
    <xdr:ext cx="4000500" cy="2533650"/>
    <xdr:pic>
      <xdr:nvPicPr>
        <xdr:cNvPr id="2" name="Image 1" descr="Picture">
          <a:extLst>
            <a:ext uri="{FF2B5EF4-FFF2-40B4-BE49-F238E27FC236}">
              <a16:creationId xmlns:a16="http://schemas.microsoft.com/office/drawing/2014/main" id="{00000000-0008-0000-28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www.loopnet.com/Listing/1524-Granville-Ave-Los-Angeles-CA/41860909/" TargetMode="External"/><Relationship Id="rId18" Type="http://schemas.openxmlformats.org/officeDocument/2006/relationships/hyperlink" Target="https://www.loopnet.com/Listing/11401-Washington-Pl-Los-Angeles-CA/41045874/" TargetMode="External"/><Relationship Id="rId26" Type="http://schemas.openxmlformats.org/officeDocument/2006/relationships/hyperlink" Target="https://www.loopnet.com/Listing/3410-Club-Dr-Los-Angeles-CA/42124206/" TargetMode="External"/><Relationship Id="rId39" Type="http://schemas.openxmlformats.org/officeDocument/2006/relationships/hyperlink" Target="https://www.loopnet.com/Listing/943-Hancock-Ave-West-Hollywood-CA/35636351/" TargetMode="External"/><Relationship Id="rId21" Type="http://schemas.openxmlformats.org/officeDocument/2006/relationships/hyperlink" Target="https://www.loopnet.com/Listing/3575-S-Sepulveda-Blvd-Los-Angeles-CA/40133835/" TargetMode="External"/><Relationship Id="rId34" Type="http://schemas.openxmlformats.org/officeDocument/2006/relationships/hyperlink" Target="https://www.loopnet.com/Listing/30-Dudley-Ave-Venice-CA/42087148/" TargetMode="External"/><Relationship Id="rId7" Type="http://schemas.openxmlformats.org/officeDocument/2006/relationships/hyperlink" Target="https://www.loopnet.com/Listing/11825-National-Blvd-Los-Angeles-CA/41861998/" TargetMode="External"/><Relationship Id="rId12" Type="http://schemas.openxmlformats.org/officeDocument/2006/relationships/hyperlink" Target="https://www.loopnet.com/Listing/1429-Havenhurst-Dr-West-Hollywood-CA/39906708/" TargetMode="External"/><Relationship Id="rId17" Type="http://schemas.openxmlformats.org/officeDocument/2006/relationships/hyperlink" Target="https://www.loopnet.com/Listing/900-N-Orange-Grove-Ave-West-Hollywood-CA/41907434/" TargetMode="External"/><Relationship Id="rId25" Type="http://schemas.openxmlformats.org/officeDocument/2006/relationships/hyperlink" Target="https://www.loopnet.com/Listing/1256-S-Westgate-Ave-Los-Angeles-CA/40699583/" TargetMode="External"/><Relationship Id="rId33" Type="http://schemas.openxmlformats.org/officeDocument/2006/relationships/hyperlink" Target="https://www.loopnet.com/Listing/120-Westminster-Ave-Venice-CA/37813304/" TargetMode="External"/><Relationship Id="rId38" Type="http://schemas.openxmlformats.org/officeDocument/2006/relationships/hyperlink" Target="https://www.loopnet.com/Listing/7550-Fountain-Ave-West-Hollywood-CA/39481343/" TargetMode="External"/><Relationship Id="rId2" Type="http://schemas.openxmlformats.org/officeDocument/2006/relationships/hyperlink" Target="https://www.loopnet.com/Listing/2001-Penmar-Ave-Venice-CA/42203505/" TargetMode="External"/><Relationship Id="rId16" Type="http://schemas.openxmlformats.org/officeDocument/2006/relationships/hyperlink" Target="https://www.loopnet.com/Listing/3827-Tilden-Ave-Culver-City-CA/39373185/" TargetMode="External"/><Relationship Id="rId20" Type="http://schemas.openxmlformats.org/officeDocument/2006/relationships/hyperlink" Target="https://www.loopnet.com/Listing/1942-Euclid-St-Santa-Monica-CA/37473711/" TargetMode="External"/><Relationship Id="rId29" Type="http://schemas.openxmlformats.org/officeDocument/2006/relationships/hyperlink" Target="https://www.loopnet.com/Listing/3750-Midvale-Ave-Los-Angeles-CA/42122771/" TargetMode="External"/><Relationship Id="rId1" Type="http://schemas.openxmlformats.org/officeDocument/2006/relationships/hyperlink" Target="https://www.loopnet.com/Listing/1129-Lincoln-Blvd-Santa-Monica-CA/39716497/" TargetMode="External"/><Relationship Id="rId6" Type="http://schemas.openxmlformats.org/officeDocument/2006/relationships/hyperlink" Target="https://www.loopnet.com/Listing/2015-2021-Chariton-St-Los-Angeles-CA/40960367/" TargetMode="External"/><Relationship Id="rId11" Type="http://schemas.openxmlformats.org/officeDocument/2006/relationships/hyperlink" Target="https://www.loopnet.com/Listing/440-Raymond-Ave-Santa-Monica-CA/40944094/" TargetMode="External"/><Relationship Id="rId24" Type="http://schemas.openxmlformats.org/officeDocument/2006/relationships/hyperlink" Target="https://www.loopnet.com/Listing/1217-9th-St-Santa-Monica-CA/40637090/" TargetMode="External"/><Relationship Id="rId32" Type="http://schemas.openxmlformats.org/officeDocument/2006/relationships/hyperlink" Target="https://www.loopnet.com/Listing/1235-1241-S-Beverly-Glen-Blvd-Los-Angeles-CA/41406868/" TargetMode="External"/><Relationship Id="rId37" Type="http://schemas.openxmlformats.org/officeDocument/2006/relationships/hyperlink" Target="https://www.loopnet.com/Listing/337-N-Palm-Dr-Beverly-Hills-CA/41098538/" TargetMode="External"/><Relationship Id="rId5" Type="http://schemas.openxmlformats.org/officeDocument/2006/relationships/hyperlink" Target="https://www.loopnet.com/Listing/2619-S-Sepulveda-Blvd-Los-Angeles-CA/40680806/" TargetMode="External"/><Relationship Id="rId15" Type="http://schemas.openxmlformats.org/officeDocument/2006/relationships/hyperlink" Target="https://www.loopnet.com/Listing/20-Brooks-Ave-Venice-CA/37445935/" TargetMode="External"/><Relationship Id="rId23" Type="http://schemas.openxmlformats.org/officeDocument/2006/relationships/hyperlink" Target="https://www.loopnet.com/Listing/8468-Fountain-Ave-West-Hollywood-CA/41321300/" TargetMode="External"/><Relationship Id="rId28" Type="http://schemas.openxmlformats.org/officeDocument/2006/relationships/hyperlink" Target="https://www.loopnet.com/Listing/1307-15th-St-Santa-Monica-CA/36097058/" TargetMode="External"/><Relationship Id="rId36" Type="http://schemas.openxmlformats.org/officeDocument/2006/relationships/hyperlink" Target="https://www.loopnet.com/Listing/18u-Total-Prime-Bev-Hills-Double-Lot/41112960/" TargetMode="External"/><Relationship Id="rId10" Type="http://schemas.openxmlformats.org/officeDocument/2006/relationships/hyperlink" Target="https://www.loopnet.com/Listing/2626-Cloverfield-Blvd-Santa-Monica-CA/40077828/" TargetMode="External"/><Relationship Id="rId19" Type="http://schemas.openxmlformats.org/officeDocument/2006/relationships/hyperlink" Target="https://www.loopnet.com/Listing/7526-Fountain-Ave-West-Hollywood-CA/41967112/" TargetMode="External"/><Relationship Id="rId31" Type="http://schemas.openxmlformats.org/officeDocument/2006/relationships/hyperlink" Target="https://www.loopnet.com/Listing/1269-Havenhurst-Dr-West-Hollywood-CA/41299961/" TargetMode="External"/><Relationship Id="rId4" Type="http://schemas.openxmlformats.org/officeDocument/2006/relationships/hyperlink" Target="https://www.loopnet.com/Listing/1811-PARNELL-AV-Los-Angeles-CA/41841187/" TargetMode="External"/><Relationship Id="rId9" Type="http://schemas.openxmlformats.org/officeDocument/2006/relationships/hyperlink" Target="https://www.loopnet.com/Listing/3602-Keystone-Ave-Los-Angeles-CA/41738192/" TargetMode="External"/><Relationship Id="rId14" Type="http://schemas.openxmlformats.org/officeDocument/2006/relationships/hyperlink" Target="https://www.loopnet.com/Listing/1041-S-Corning-St-Los-Angeles-CA/41465694/" TargetMode="External"/><Relationship Id="rId22" Type="http://schemas.openxmlformats.org/officeDocument/2006/relationships/hyperlink" Target="https://www.loopnet.com/Listing/228-Idaho-Ave-Santa-Monica-CA/41885894/" TargetMode="External"/><Relationship Id="rId27" Type="http://schemas.openxmlformats.org/officeDocument/2006/relationships/hyperlink" Target="https://www.loopnet.com/Listing/1050-12th-St-Santa-Monica-CA/36321370/" TargetMode="External"/><Relationship Id="rId30" Type="http://schemas.openxmlformats.org/officeDocument/2006/relationships/hyperlink" Target="https://www.loopnet.com/Listing/823-5th-St-Santa-Monica-CA/39002596/" TargetMode="External"/><Relationship Id="rId35" Type="http://schemas.openxmlformats.org/officeDocument/2006/relationships/hyperlink" Target="https://www.loopnet.com/Listing/1814-Federal-Ave-Los-Angeles-CA/37973143/" TargetMode="External"/><Relationship Id="rId8" Type="http://schemas.openxmlformats.org/officeDocument/2006/relationships/hyperlink" Target="https://www.loopnet.com/Listing/1811-S-Bentley-Ave-Los-Angeles-CA/41879401/" TargetMode="External"/><Relationship Id="rId3" Type="http://schemas.openxmlformats.org/officeDocument/2006/relationships/hyperlink" Target="https://www.loopnet.com/Listing/947-953-11th-St-Santa-Monica-CA/42055858/"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www.loopnet.com/Listing/1129-Lincoln-Blvd-Santa-Monica-CA/39716497/"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hyperlink" Target="https://www.loopnet.com/Listing/2001-Penmar-Ave-Venice-CA/42203505/" TargetMode="Externa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hyperlink" Target="https://www.loopnet.com/Listing/947-953-11th-St-Santa-Monica-CA/42055858/" TargetMode="Externa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hyperlink" Target="https://www.loopnet.com/Listing/1811-PARNELL-AV-Los-Angeles-CA/41841187/" TargetMode="Externa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hyperlink" Target="https://www.loopnet.com/Listing/2619-S-Sepulveda-Blvd-Los-Angeles-CA/40680806/" TargetMode="Externa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hyperlink" Target="https://www.loopnet.com/Listing/2015-2021-Chariton-St-Los-Angeles-CA/40960367/" TargetMode="Externa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hyperlink" Target="https://www.loopnet.com/Listing/11825-National-Blvd-Los-Angeles-CA/41861998/" TargetMode="Externa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hyperlink" Target="https://www.loopnet.com/Listing/1811-S-Bentley-Ave-Los-Angeles-CA/41879401/" TargetMode="External"/></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hyperlink" Target="https://www.loopnet.com/Listing/3602-Keystone-Ave-Los-Angeles-CA/41738192/" TargetMode="External"/></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hyperlink" Target="https://www.loopnet.com/Listing/2626-Cloverfield-Blvd-Santa-Monica-CA/40077828/" TargetMode="Externa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hyperlink" Target="https://www.loopnet.com/Listing/440-Raymond-Ave-Santa-Monica-CA/40944094/" TargetMode="Externa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hyperlink" Target="https://www.loopnet.com/Listing/1429-Havenhurst-Dr-West-Hollywood-CA/39906708/" TargetMode="External"/></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hyperlink" Target="https://www.loopnet.com/Listing/1524-Granville-Ave-Los-Angeles-CA/41860909/" TargetMode="External"/></Relationships>
</file>

<file path=xl/worksheets/_rels/sheet16.xml.rels><?xml version="1.0" encoding="UTF-8" standalone="yes"?>
<Relationships xmlns="http://schemas.openxmlformats.org/package/2006/relationships"><Relationship Id="rId3" Type="http://schemas.openxmlformats.org/officeDocument/2006/relationships/drawing" Target="../drawings/drawing14.xml"/><Relationship Id="rId2" Type="http://schemas.openxmlformats.org/officeDocument/2006/relationships/printerSettings" Target="../printerSettings/printerSettings1.bin"/><Relationship Id="rId1" Type="http://schemas.openxmlformats.org/officeDocument/2006/relationships/hyperlink" Target="https://www.loopnet.com/Listing/1041-S-Corning-St-Los-Angeles-CA/41465694/" TargetMode="External"/></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hyperlink" Target="https://www.loopnet.com/Listing/20-Brooks-Ave-Venice-CA/37445935/" TargetMode="External"/></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hyperlink" Target="https://www.loopnet.com/Listing/3827-Tilden-Ave-Culver-City-CA/39373185/" TargetMode="Externa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hyperlink" Target="https://www.loopnet.com/Listing/900-N-Orange-Grove-Ave-West-Hollywood-CA/41907434/" TargetMode="External"/></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hyperlink" Target="https://www.loopnet.com/Listing/11401-Washington-Pl-Los-Angeles-CA/41045874/" TargetMode="External"/></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hyperlink" Target="https://www.loopnet.com/Listing/7526-Fountain-Ave-West-Hollywood-CA/41967112/" TargetMode="External"/></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hyperlink" Target="https://www.loopnet.com/Listing/1942-Euclid-St-Santa-Monica-CA/37473711/" TargetMode="External"/></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hyperlink" Target="https://www.loopnet.com/Listing/3575-S-Sepulveda-Blvd-Los-Angeles-CA/40133835/" TargetMode="External"/></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hyperlink" Target="https://www.loopnet.com/Listing/228-Idaho-Ave-Santa-Monica-CA/41885894/" TargetMode="External"/></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hyperlink" Target="https://www.loopnet.com/Listing/8468-Fountain-Ave-West-Hollywood-CA/41321300/" TargetMode="External"/></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hyperlink" Target="https://www.loopnet.com/Listing/1217-9th-St-Santa-Monica-CA/40637090/" TargetMode="External"/></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hyperlink" Target="https://www.loopnet.com/Listing/1256-S-Westgate-Ave-Los-Angeles-CA/40699583/" TargetMode="External"/></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hyperlink" Target="https://www.loopnet.com/Listing/3410-Club-Dr-Los-Angeles-CA/42124206/" TargetMode="External"/></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hyperlink" Target="https://www.loopnet.com/Listing/1050-12th-St-Santa-Monica-CA/36321370/" TargetMode="External"/></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hyperlink" Target="https://www.loopnet.com/Listing/1307-15th-St-Santa-Monica-CA/36097058/" TargetMode="External"/></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hyperlink" Target="https://www.loopnet.com/Listing/3750-Midvale-Ave-Los-Angeles-CA/42122771/" TargetMode="External"/></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hyperlink" Target="https://www.loopnet.com/Listing/823-5th-St-Santa-Monica-CA/39002596/" TargetMode="External"/></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hyperlink" Target="https://www.loopnet.com/Listing/1269-Havenhurst-Dr-West-Hollywood-CA/41299961/" TargetMode="External"/></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hyperlink" Target="https://www.loopnet.com/Listing/1235-1241-S-Beverly-Glen-Blvd-Los-Angeles-CA/41406868/" TargetMode="External"/></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hyperlink" Target="https://www.loopnet.com/Listing/120-Westminster-Ave-Venice-CA/37813304/" TargetMode="External"/></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hyperlink" Target="https://www.loopnet.com/Listing/30-Dudley-Ave-Venice-CA/42087148/" TargetMode="External"/></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hyperlink" Target="https://www.loopnet.com/Listing/1814-Federal-Ave-Los-Angeles-CA/37973143/" TargetMode="External"/></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hyperlink" Target="https://www.loopnet.com/Listing/18u-Total-Prime-Bev-Hills-Double-Lot/41112960/" TargetMode="External"/></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hyperlink" Target="https://www.loopnet.com/Listing/337-N-Palm-Dr-Beverly-Hills-CA/41098538/" TargetMode="External"/></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hyperlink" Target="https://www.loopnet.com/Listing/7550-Fountain-Ave-West-Hollywood-CA/39481343/" TargetMode="External"/></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hyperlink" Target="https://www.loopnet.com/Listing/943-Hancock-Ave-West-Hollywood-CA/3563635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56"/>
  <sheetViews>
    <sheetView showGridLines="0" workbookViewId="0">
      <pane xSplit="2" ySplit="4" topLeftCell="C5" activePane="bottomRight" state="frozen"/>
      <selection pane="topRight"/>
      <selection pane="bottomLeft"/>
      <selection pane="bottomRight"/>
    </sheetView>
  </sheetViews>
  <sheetFormatPr defaultRowHeight="15" x14ac:dyDescent="0.25"/>
  <cols>
    <col min="1" max="1" width="4" customWidth="1"/>
    <col min="2" max="2" width="34" customWidth="1"/>
    <col min="3" max="3" width="14" customWidth="1"/>
    <col min="4" max="4" width="7" customWidth="1"/>
    <col min="5" max="5" width="22" customWidth="1"/>
    <col min="6" max="6" width="7" customWidth="1"/>
    <col min="7" max="7" width="9" customWidth="1"/>
    <col min="8" max="9" width="10" customWidth="1"/>
    <col min="10" max="10" width="14" customWidth="1"/>
    <col min="11" max="11" width="12" customWidth="1"/>
    <col min="12" max="12" width="9" customWidth="1"/>
    <col min="13" max="13" width="10" customWidth="1"/>
    <col min="14" max="14" width="9" customWidth="1"/>
    <col min="15" max="16" width="12" customWidth="1"/>
    <col min="17" max="17" width="22" customWidth="1"/>
    <col min="18" max="19" width="14" customWidth="1"/>
    <col min="20" max="21" width="9" customWidth="1"/>
    <col min="22" max="22" width="11" customWidth="1"/>
    <col min="23" max="23" width="10" customWidth="1"/>
    <col min="24" max="24" width="28" customWidth="1"/>
    <col min="25" max="26" width="12" customWidth="1"/>
    <col min="27" max="27" width="30" customWidth="1"/>
    <col min="28" max="28" width="50" customWidth="1"/>
    <col min="29" max="29" width="14" customWidth="1"/>
  </cols>
  <sheetData>
    <row r="1" spans="1:29" ht="19.5" x14ac:dyDescent="0.3">
      <c r="A1" s="1" t="s">
        <v>0</v>
      </c>
    </row>
    <row r="2" spans="1:29" ht="30" customHeight="1" x14ac:dyDescent="0.25">
      <c r="A2" s="59" t="s">
        <v>1</v>
      </c>
      <c r="B2" s="58"/>
      <c r="C2" s="58"/>
      <c r="D2" s="58"/>
      <c r="E2" s="58"/>
      <c r="F2" s="58"/>
      <c r="G2" s="58"/>
      <c r="H2" s="58"/>
      <c r="I2" s="58"/>
      <c r="J2" s="58"/>
      <c r="K2" s="58"/>
      <c r="L2" s="58"/>
      <c r="M2" s="58"/>
      <c r="N2" s="58"/>
      <c r="O2" s="58"/>
      <c r="P2" s="58"/>
      <c r="Q2" s="58"/>
      <c r="R2" s="58"/>
      <c r="S2" s="58"/>
      <c r="T2" s="58"/>
      <c r="U2" s="58"/>
      <c r="V2" s="58"/>
      <c r="W2" s="58"/>
      <c r="X2" s="58"/>
    </row>
    <row r="4" spans="1:29" ht="32.1" customHeight="1" x14ac:dyDescent="0.25">
      <c r="A4" s="2" t="s">
        <v>2</v>
      </c>
      <c r="B4" s="2" t="s">
        <v>3</v>
      </c>
      <c r="C4" s="2" t="s">
        <v>4</v>
      </c>
      <c r="D4" s="2" t="s">
        <v>5</v>
      </c>
      <c r="E4" s="2" t="s">
        <v>6</v>
      </c>
      <c r="F4" s="2" t="s">
        <v>7</v>
      </c>
      <c r="G4" s="2" t="s">
        <v>8</v>
      </c>
      <c r="H4" s="2" t="s">
        <v>9</v>
      </c>
      <c r="I4" s="2" t="s">
        <v>10</v>
      </c>
      <c r="J4" s="2" t="s">
        <v>11</v>
      </c>
      <c r="K4" s="2" t="s">
        <v>12</v>
      </c>
      <c r="L4" s="2" t="s">
        <v>13</v>
      </c>
      <c r="M4" s="2" t="s">
        <v>14</v>
      </c>
      <c r="N4" s="2" t="s">
        <v>15</v>
      </c>
      <c r="O4" s="2" t="s">
        <v>16</v>
      </c>
      <c r="P4" s="2" t="s">
        <v>17</v>
      </c>
      <c r="Q4" s="2" t="s">
        <v>18</v>
      </c>
      <c r="R4" s="2" t="s">
        <v>19</v>
      </c>
      <c r="S4" s="2" t="s">
        <v>20</v>
      </c>
      <c r="T4" s="2" t="s">
        <v>21</v>
      </c>
      <c r="U4" s="2" t="s">
        <v>22</v>
      </c>
      <c r="V4" s="2" t="s">
        <v>23</v>
      </c>
      <c r="W4" s="2" t="s">
        <v>24</v>
      </c>
      <c r="X4" s="2" t="s">
        <v>25</v>
      </c>
      <c r="Y4" s="2" t="s">
        <v>26</v>
      </c>
      <c r="Z4" s="2" t="s">
        <v>27</v>
      </c>
      <c r="AA4" s="2" t="s">
        <v>28</v>
      </c>
      <c r="AB4" s="2" t="s">
        <v>29</v>
      </c>
      <c r="AC4" s="2" t="s">
        <v>30</v>
      </c>
    </row>
    <row r="5" spans="1:29" x14ac:dyDescent="0.25">
      <c r="A5" s="3">
        <v>1</v>
      </c>
      <c r="B5" s="4" t="s">
        <v>31</v>
      </c>
      <c r="C5" s="3" t="s">
        <v>32</v>
      </c>
      <c r="D5" s="3" t="s">
        <v>33</v>
      </c>
      <c r="E5" s="3" t="s">
        <v>32</v>
      </c>
      <c r="F5" s="5">
        <f>'01 1129 Lincoln Blvd'!B7</f>
        <v>10</v>
      </c>
      <c r="G5" s="3">
        <f>'01 1129 Lincoln Blvd'!B11</f>
        <v>1956</v>
      </c>
      <c r="H5" s="5">
        <f>'01 1129 Lincoln Blvd'!B8</f>
        <v>7377</v>
      </c>
      <c r="I5" s="5">
        <f>'01 1129 Lincoln Blvd'!B9</f>
        <v>7405</v>
      </c>
      <c r="J5" s="6">
        <f>IF('01 1129 Lincoln Blvd'!B22="","",'01 1129 Lincoln Blvd'!B22)</f>
        <v>3100000</v>
      </c>
      <c r="K5" s="6">
        <f>IF('01 1129 Lincoln Blvd'!B23="","",'01 1129 Lincoln Blvd'!B23)</f>
        <v>310000</v>
      </c>
      <c r="L5" s="7">
        <f>IF('01 1129 Lincoln Blvd'!B24="","",'01 1129 Lincoln Blvd'!B24)</f>
        <v>420.2250237223804</v>
      </c>
      <c r="M5" s="8">
        <f>IF('01 1129 Lincoln Blvd'!B25="","",'01 1129 Lincoln Blvd'!B25)</f>
        <v>6.3200000000000006E-2</v>
      </c>
      <c r="N5" s="9">
        <f>IF('01 1129 Lincoln Blvd'!B26="","",'01 1129 Lincoln Blvd'!B26)</f>
        <v>11.16</v>
      </c>
      <c r="O5" s="6">
        <f>IF('01 1129 Lincoln Blvd'!B56="","",'01 1129 Lincoln Blvd'!B56)</f>
        <v>7352.4444444444471</v>
      </c>
      <c r="P5" s="6">
        <f>IF('01 1129 Lincoln Blvd'!D56="","",'01 1129 Lincoln Blvd'!D56)</f>
        <v>9818.9449999999997</v>
      </c>
      <c r="Q5" s="3" t="str">
        <f>'01 1129 Lincoln Blvd'!B58</f>
        <v>OM EXPENSES LIGHT</v>
      </c>
      <c r="R5" s="6">
        <f>IF('01 1129 Lincoln Blvd'!B62="","",'01 1129 Lincoln Blvd'!B62)</f>
        <v>195920.00000000003</v>
      </c>
      <c r="S5" s="6">
        <f>IF('01 1129 Lincoln Blvd'!C62="","",'01 1129 Lincoln Blvd'!C62)</f>
        <v>175059.55</v>
      </c>
      <c r="T5" s="8">
        <f>IF('01 1129 Lincoln Blvd'!C63="","",'01 1129 Lincoln Blvd'!C63)</f>
        <v>5.6470822580645161E-2</v>
      </c>
      <c r="U5" s="9">
        <f>IF('01 1129 Lincoln Blvd'!C64="","",'01 1129 Lincoln Blvd'!C64)</f>
        <v>11.004614838480654</v>
      </c>
      <c r="V5" s="8">
        <f>IF('01 1129 Lincoln Blvd'!B75="","",'01 1129 Lincoln Blvd'!B75)</f>
        <v>3.0347960374862398E-2</v>
      </c>
      <c r="W5" s="3" t="s">
        <v>34</v>
      </c>
      <c r="X5" s="3" t="s">
        <v>35</v>
      </c>
      <c r="Y5" s="3" t="s">
        <v>36</v>
      </c>
      <c r="Z5" s="3" t="s">
        <v>37</v>
      </c>
      <c r="AA5" s="10" t="s">
        <v>38</v>
      </c>
      <c r="AB5" s="10"/>
      <c r="AC5" s="4" t="s">
        <v>39</v>
      </c>
    </row>
    <row r="6" spans="1:29" x14ac:dyDescent="0.25">
      <c r="A6" s="3">
        <v>2</v>
      </c>
      <c r="B6" s="4" t="s">
        <v>40</v>
      </c>
      <c r="C6" s="3" t="s">
        <v>41</v>
      </c>
      <c r="D6" s="3" t="s">
        <v>42</v>
      </c>
      <c r="E6" s="3" t="s">
        <v>41</v>
      </c>
      <c r="F6" s="5">
        <f>'02 2001 Penmar Ave'!B7</f>
        <v>14</v>
      </c>
      <c r="G6" s="3">
        <f>'02 2001 Penmar Ave'!B11</f>
        <v>1962</v>
      </c>
      <c r="H6" s="5">
        <f>'02 2001 Penmar Ave'!B8</f>
        <v>9532</v>
      </c>
      <c r="I6" s="5">
        <f>'02 2001 Penmar Ave'!B9</f>
        <v>10019</v>
      </c>
      <c r="J6" s="6">
        <f>IF('02 2001 Penmar Ave'!B22="","",'02 2001 Penmar Ave'!B22)</f>
        <v>5095000</v>
      </c>
      <c r="K6" s="6">
        <f>IF('02 2001 Penmar Ave'!B23="","",'02 2001 Penmar Ave'!B23)</f>
        <v>363928.57142857142</v>
      </c>
      <c r="L6" s="7">
        <f>IF('02 2001 Penmar Ave'!B24="","",'02 2001 Penmar Ave'!B24)</f>
        <v>534.5153168275283</v>
      </c>
      <c r="M6" s="8">
        <f>IF('02 2001 Penmar Ave'!B25="","",'02 2001 Penmar Ave'!B25)</f>
        <v>6.2E-2</v>
      </c>
      <c r="N6" s="9">
        <f>IF('02 2001 Penmar Ave'!B26="","",'02 2001 Penmar Ave'!B26)</f>
        <v>11.34</v>
      </c>
      <c r="O6" s="6">
        <f>IF('02 2001 Penmar Ave'!B56="","",'02 2001 Penmar Ave'!B56)</f>
        <v>8546.7142857142862</v>
      </c>
      <c r="P6" s="6">
        <f>IF('02 2001 Penmar Ave'!D56="","",'02 2001 Penmar Ave'!D56)</f>
        <v>10640.710857142856</v>
      </c>
      <c r="Q6" s="3" t="str">
        <f>'02 2001 Penmar Ave'!B58</f>
        <v>OM EXPENSES LIGHT</v>
      </c>
      <c r="R6" s="6">
        <f>IF('02 2001 Penmar Ave'!B62="","",'02 2001 Penmar Ave'!B62)</f>
        <v>316124.96999999997</v>
      </c>
      <c r="S6" s="6">
        <f>IF('02 2001 Penmar Ave'!C62="","",'02 2001 Penmar Ave'!C62)</f>
        <v>286839.08799999999</v>
      </c>
      <c r="T6" s="8">
        <f>IF('02 2001 Penmar Ave'!C63="","",'02 2001 Penmar Ave'!C63)</f>
        <v>5.6298152698724235E-2</v>
      </c>
      <c r="U6" s="9">
        <f>IF('02 2001 Penmar Ave'!C64="","",'02 2001 Penmar Ave'!C64)</f>
        <v>11.387205206601227</v>
      </c>
      <c r="V6" s="8">
        <f>IF('02 2001 Penmar Ave'!B75="","",'02 2001 Penmar Ave'!B75)</f>
        <v>2.9916285670060123E-2</v>
      </c>
      <c r="W6" s="3" t="s">
        <v>34</v>
      </c>
      <c r="X6" s="3" t="s">
        <v>43</v>
      </c>
      <c r="Y6" s="3" t="s">
        <v>44</v>
      </c>
      <c r="Z6" s="3" t="s">
        <v>44</v>
      </c>
      <c r="AA6" s="10" t="s">
        <v>541</v>
      </c>
      <c r="AB6" s="10" t="s">
        <v>46</v>
      </c>
      <c r="AC6" s="4" t="s">
        <v>39</v>
      </c>
    </row>
    <row r="7" spans="1:29" x14ac:dyDescent="0.25">
      <c r="A7" s="3">
        <v>3</v>
      </c>
      <c r="B7" s="4" t="s">
        <v>47</v>
      </c>
      <c r="C7" s="3" t="s">
        <v>32</v>
      </c>
      <c r="D7" s="3" t="s">
        <v>33</v>
      </c>
      <c r="E7" s="3" t="s">
        <v>32</v>
      </c>
      <c r="F7" s="5">
        <f>'03 947-953 11th St'!B7</f>
        <v>15</v>
      </c>
      <c r="G7" s="3">
        <f>'03 947-953 11th St'!B11</f>
        <v>1937</v>
      </c>
      <c r="H7" s="5">
        <f>'03 947-953 11th St'!B8</f>
        <v>11850</v>
      </c>
      <c r="I7" s="5">
        <f>'03 947-953 11th St'!B9</f>
        <v>14810</v>
      </c>
      <c r="J7" s="6">
        <f>IF('03 947-953 11th St'!B22="","",'03 947-953 11th St'!B22)</f>
        <v>8500000</v>
      </c>
      <c r="K7" s="6">
        <f>IF('03 947-953 11th St'!B23="","",'03 947-953 11th St'!B23)</f>
        <v>566666.66666666663</v>
      </c>
      <c r="L7" s="7">
        <f>IF('03 947-953 11th St'!B24="","",'03 947-953 11th St'!B24)</f>
        <v>717.29957805907168</v>
      </c>
      <c r="M7" s="8">
        <f>IF('03 947-953 11th St'!B25="","",'03 947-953 11th St'!B25)</f>
        <v>6.0400000000000002E-2</v>
      </c>
      <c r="N7" s="9">
        <f>IF('03 947-953 11th St'!B26="","",'03 947-953 11th St'!B26)</f>
        <v>13.77</v>
      </c>
      <c r="O7" s="6">
        <f>IF('03 947-953 11th St'!B55="","",'03 947-953 11th St'!B55)</f>
        <v>5691.0288065843597</v>
      </c>
      <c r="P7" s="6">
        <f>IF('03 947-953 11th St'!D55="","",'03 947-953 11th St'!D55)</f>
        <v>13452.616266666668</v>
      </c>
      <c r="Q7" s="3" t="str">
        <f>'03 947-953 11th St'!B57</f>
        <v>OM EXPENSES LIGHT</v>
      </c>
      <c r="R7" s="6">
        <f>IF('03 947-953 11th St'!B61="","",'03 947-953 11th St'!B61)</f>
        <v>513400</v>
      </c>
      <c r="S7" s="6">
        <f>IF('03 947-953 11th St'!C61="","",'03 947-953 11th St'!C61)</f>
        <v>396995.636</v>
      </c>
      <c r="T7" s="8">
        <f>IF('03 947-953 11th St'!C62="","",'03 947-953 11th St'!C62)</f>
        <v>4.6705368941176467E-2</v>
      </c>
      <c r="U7" s="9">
        <f>IF('03 947-953 11th St'!C63="","",'03 947-953 11th St'!C63)</f>
        <v>13.769552764926194</v>
      </c>
      <c r="V7" s="8">
        <f>IF('03 947-953 11th St'!B74="","",'03 947-953 11th St'!B74)</f>
        <v>1.8897638231804383E-2</v>
      </c>
      <c r="W7" s="3" t="s">
        <v>48</v>
      </c>
      <c r="X7" s="3" t="s">
        <v>49</v>
      </c>
      <c r="Y7" s="3" t="s">
        <v>50</v>
      </c>
      <c r="Z7" s="3" t="s">
        <v>51</v>
      </c>
      <c r="AA7" s="10" t="s">
        <v>45</v>
      </c>
      <c r="AB7" s="10" t="s">
        <v>52</v>
      </c>
      <c r="AC7" s="4" t="s">
        <v>39</v>
      </c>
    </row>
    <row r="8" spans="1:29" x14ac:dyDescent="0.25">
      <c r="A8" s="3">
        <v>4</v>
      </c>
      <c r="B8" s="4" t="s">
        <v>53</v>
      </c>
      <c r="C8" s="3" t="s">
        <v>54</v>
      </c>
      <c r="D8" s="3" t="s">
        <v>55</v>
      </c>
      <c r="E8" s="3" t="s">
        <v>56</v>
      </c>
      <c r="F8" s="5">
        <f>'04 1811 Parnell Ave'!B7</f>
        <v>11</v>
      </c>
      <c r="G8" s="3">
        <f>'04 1811 Parnell Ave'!B11</f>
        <v>1971</v>
      </c>
      <c r="H8" s="5">
        <f>'04 1811 Parnell Ave'!B8</f>
        <v>6596</v>
      </c>
      <c r="I8" s="5">
        <f>'04 1811 Parnell Ave'!B9</f>
        <v>6534</v>
      </c>
      <c r="J8" s="6">
        <f>IF('04 1811 Parnell Ave'!B22="","",'04 1811 Parnell Ave'!B22)</f>
        <v>2650000</v>
      </c>
      <c r="K8" s="6">
        <f>IF('04 1811 Parnell Ave'!B23="","",'04 1811 Parnell Ave'!B23)</f>
        <v>240909.09090909091</v>
      </c>
      <c r="L8" s="7">
        <f>IF('04 1811 Parnell Ave'!B24="","",'04 1811 Parnell Ave'!B24)</f>
        <v>401.75864160097029</v>
      </c>
      <c r="M8" s="8">
        <f>IF('04 1811 Parnell Ave'!B25="","",'04 1811 Parnell Ave'!B25)</f>
        <v>5.9800000000000013E-2</v>
      </c>
      <c r="N8" s="9">
        <f>IF('04 1811 Parnell Ave'!B26="","",'04 1811 Parnell Ave'!B26)</f>
        <v>10.3</v>
      </c>
      <c r="O8" s="6">
        <f>IF('04 1811 Parnell Ave'!B53="","",'04 1811 Parnell Ave'!B53)</f>
        <v>8281.1915269196743</v>
      </c>
      <c r="P8" s="6">
        <f>IF('04 1811 Parnell Ave'!D53="","",'04 1811 Parnell Ave'!D53)</f>
        <v>8591.8789090909104</v>
      </c>
      <c r="Q8" s="3" t="str">
        <f>'04 1811 Parnell Ave'!B55</f>
        <v>OM expenses reasonable</v>
      </c>
      <c r="R8" s="6">
        <f>IF('04 1811 Parnell Ave'!B59="","",'04 1811 Parnell Ave'!B59)</f>
        <v>158470.00000000003</v>
      </c>
      <c r="S8" s="6">
        <f>IF('04 1811 Parnell Ave'!C59="","",'04 1811 Parnell Ave'!C59)</f>
        <v>154282.69199999998</v>
      </c>
      <c r="T8" s="8">
        <f>IF('04 1811 Parnell Ave'!C60="","",'04 1811 Parnell Ave'!C60)</f>
        <v>5.8219883773584898E-2</v>
      </c>
      <c r="U8" s="9">
        <f>IF('04 1811 Parnell Ave'!C61="","",'04 1811 Parnell Ave'!C61)</f>
        <v>10.331867377811047</v>
      </c>
      <c r="V8" s="8">
        <f>IF('04 1811 Parnell Ave'!B72="","",'04 1811 Parnell Ave'!B72)</f>
        <v>3.4720613357211771E-2</v>
      </c>
      <c r="W8" s="3" t="s">
        <v>34</v>
      </c>
      <c r="X8" s="3" t="s">
        <v>57</v>
      </c>
      <c r="Y8" s="3" t="s">
        <v>58</v>
      </c>
      <c r="Z8" s="3" t="s">
        <v>59</v>
      </c>
      <c r="AA8" s="10" t="s">
        <v>38</v>
      </c>
      <c r="AB8" s="10"/>
      <c r="AC8" s="4" t="s">
        <v>39</v>
      </c>
    </row>
    <row r="9" spans="1:29" x14ac:dyDescent="0.25">
      <c r="A9" s="3">
        <v>5</v>
      </c>
      <c r="B9" s="4" t="s">
        <v>60</v>
      </c>
      <c r="C9" s="3" t="s">
        <v>54</v>
      </c>
      <c r="D9" s="3" t="s">
        <v>61</v>
      </c>
      <c r="E9" s="3" t="s">
        <v>62</v>
      </c>
      <c r="F9" s="5">
        <f>'05 2619 S Sepulveda Blvd'!B7</f>
        <v>29</v>
      </c>
      <c r="G9" s="3">
        <f>'05 2619 S Sepulveda Blvd'!B11</f>
        <v>1974</v>
      </c>
      <c r="H9" s="5">
        <f>'05 2619 S Sepulveda Blvd'!B8</f>
        <v>19116</v>
      </c>
      <c r="I9" s="5">
        <f>'05 2619 S Sepulveda Blvd'!B9</f>
        <v>20038</v>
      </c>
      <c r="J9" s="6">
        <f>IF('05 2619 S Sepulveda Blvd'!B22="","",'05 2619 S Sepulveda Blvd'!B22)</f>
        <v>5575000</v>
      </c>
      <c r="K9" s="6">
        <f>IF('05 2619 S Sepulveda Blvd'!B23="","",'05 2619 S Sepulveda Blvd'!B23)</f>
        <v>192241.37931034484</v>
      </c>
      <c r="L9" s="7">
        <f>IF('05 2619 S Sepulveda Blvd'!B24="","",'05 2619 S Sepulveda Blvd'!B24)</f>
        <v>291.64051056706421</v>
      </c>
      <c r="M9" s="8">
        <f>IF('05 2619 S Sepulveda Blvd'!B25="","",'05 2619 S Sepulveda Blvd'!B25)</f>
        <v>5.9200000000000003E-2</v>
      </c>
      <c r="N9" s="9">
        <f>IF('05 2619 S Sepulveda Blvd'!B26="","",'05 2619 S Sepulveda Blvd'!B26)</f>
        <v>10.51</v>
      </c>
      <c r="O9" s="6">
        <f>IF('05 2619 S Sepulveda Blvd'!B55="","",'05 2619 S Sepulveda Blvd'!B55)</f>
        <v>6261.6551724137935</v>
      </c>
      <c r="P9" s="6">
        <f>IF('05 2619 S Sepulveda Blvd'!D55="","",'05 2619 S Sepulveda Blvd'!D55)</f>
        <v>8411.0807586206902</v>
      </c>
      <c r="Q9" s="3" t="str">
        <f>'05 2619 S Sepulveda Blvd'!B57</f>
        <v>OM EXPENSES LIGHT</v>
      </c>
      <c r="R9" s="6">
        <f>IF('05 2619 S Sepulveda Blvd'!B61="","",'05 2619 S Sepulveda Blvd'!B61)</f>
        <v>332804.73</v>
      </c>
      <c r="S9" s="6">
        <f>IF('05 2619 S Sepulveda Blvd'!C61="","",'05 2619 S Sepulveda Blvd'!C61)</f>
        <v>270435.49800000002</v>
      </c>
      <c r="T9" s="8">
        <f>IF('05 2619 S Sepulveda Blvd'!C62="","",'05 2619 S Sepulveda Blvd'!C62)</f>
        <v>4.8508609506726461E-2</v>
      </c>
      <c r="U9" s="9">
        <f>IF('05 2619 S Sepulveda Blvd'!C63="","",'05 2619 S Sepulveda Blvd'!C63)</f>
        <v>10.575296108291033</v>
      </c>
      <c r="V9" s="8">
        <f>IF('05 2619 S Sepulveda Blvd'!B74="","",'05 2619 S Sepulveda Blvd'!B74)</f>
        <v>2.0434403496252241E-2</v>
      </c>
      <c r="W9" s="3" t="s">
        <v>63</v>
      </c>
      <c r="X9" s="3" t="s">
        <v>43</v>
      </c>
      <c r="Y9" s="3" t="s">
        <v>64</v>
      </c>
      <c r="Z9" s="3" t="s">
        <v>65</v>
      </c>
      <c r="AA9" s="10" t="s">
        <v>571</v>
      </c>
      <c r="AB9" s="10" t="s">
        <v>66</v>
      </c>
      <c r="AC9" s="4" t="s">
        <v>39</v>
      </c>
    </row>
    <row r="10" spans="1:29" x14ac:dyDescent="0.25">
      <c r="A10" s="3">
        <v>6</v>
      </c>
      <c r="B10" s="4" t="s">
        <v>67</v>
      </c>
      <c r="C10" s="3" t="s">
        <v>54</v>
      </c>
      <c r="D10" s="3" t="s">
        <v>68</v>
      </c>
      <c r="E10" s="3" t="s">
        <v>69</v>
      </c>
      <c r="F10" s="5">
        <f>'06 2015-2021 Chariton St'!B7</f>
        <v>12</v>
      </c>
      <c r="G10" s="3">
        <f>'06 2015-2021 Chariton St'!B11</f>
        <v>1961</v>
      </c>
      <c r="H10" s="5">
        <f>'06 2015-2021 Chariton St'!B8</f>
        <v>12680</v>
      </c>
      <c r="I10" s="5">
        <f>'06 2015-2021 Chariton St'!B9</f>
        <v>12632</v>
      </c>
      <c r="J10" s="6">
        <f>IF('06 2015-2021 Chariton St'!B22="","",'06 2015-2021 Chariton St'!B22)</f>
        <v>3375000</v>
      </c>
      <c r="K10" s="6">
        <f>IF('06 2015-2021 Chariton St'!B23="","",'06 2015-2021 Chariton St'!B23)</f>
        <v>281250</v>
      </c>
      <c r="L10" s="7">
        <f>IF('06 2015-2021 Chariton St'!B24="","",'06 2015-2021 Chariton St'!B24)</f>
        <v>266.16719242902207</v>
      </c>
      <c r="M10" s="8">
        <f>IF('06 2015-2021 Chariton St'!B25="","",'06 2015-2021 Chariton St'!B25)</f>
        <v>5.8000000000000003E-2</v>
      </c>
      <c r="N10" s="9">
        <f>IF('06 2015-2021 Chariton St'!B26="","",'06 2015-2021 Chariton St'!B26)</f>
        <v>10.29</v>
      </c>
      <c r="O10" s="6">
        <f>IF('06 2015-2021 Chariton St'!B53="","",'06 2015-2021 Chariton St'!B53)</f>
        <v>10199.890670553932</v>
      </c>
      <c r="P10" s="6">
        <f>IF('06 2015-2021 Chariton St'!D53="","",'06 2015-2021 Chariton St'!D53)</f>
        <v>9673.8826666666664</v>
      </c>
      <c r="Q10" s="3" t="str">
        <f>'06 2015-2021 Chariton St'!B55</f>
        <v>OM expenses reasonable</v>
      </c>
      <c r="R10" s="6">
        <f>IF('06 2015-2021 Chariton St'!B59="","",'06 2015-2021 Chariton St'!B59)</f>
        <v>195750</v>
      </c>
      <c r="S10" s="6">
        <f>IF('06 2015-2021 Chariton St'!C59="","",'06 2015-2021 Chariton St'!C59)</f>
        <v>184295.24800000002</v>
      </c>
      <c r="T10" s="8">
        <f>IF('06 2015-2021 Chariton St'!C60="","",'06 2015-2021 Chariton St'!C60)</f>
        <v>5.4605999407407416E-2</v>
      </c>
      <c r="U10" s="9">
        <f>IF('06 2015-2021 Chariton St'!C61="","",'06 2015-2021 Chariton St'!C61)</f>
        <v>10.898628225993955</v>
      </c>
      <c r="V10" s="8">
        <f>IF('06 2015-2021 Chariton St'!B72="","",'06 2015-2021 Chariton St'!B72)</f>
        <v>2.6718234704521997E-2</v>
      </c>
      <c r="W10" s="3" t="s">
        <v>34</v>
      </c>
      <c r="X10" s="3" t="s">
        <v>70</v>
      </c>
      <c r="Y10" s="3" t="s">
        <v>71</v>
      </c>
      <c r="Z10" s="3" t="s">
        <v>51</v>
      </c>
      <c r="AA10" s="10" t="s">
        <v>38</v>
      </c>
      <c r="AB10" s="10" t="s">
        <v>72</v>
      </c>
      <c r="AC10" s="4" t="s">
        <v>39</v>
      </c>
    </row>
    <row r="11" spans="1:29" x14ac:dyDescent="0.25">
      <c r="A11" s="3">
        <v>7</v>
      </c>
      <c r="B11" s="4" t="s">
        <v>73</v>
      </c>
      <c r="C11" s="3" t="s">
        <v>54</v>
      </c>
      <c r="D11" s="3" t="s">
        <v>61</v>
      </c>
      <c r="E11" s="3" t="s">
        <v>62</v>
      </c>
      <c r="F11" s="5">
        <f>'07 11825 National Blvd'!B7</f>
        <v>13</v>
      </c>
      <c r="G11" s="3">
        <f>'07 11825 National Blvd'!B11</f>
        <v>1971</v>
      </c>
      <c r="H11" s="5">
        <f>'07 11825 National Blvd'!B8</f>
        <v>11831</v>
      </c>
      <c r="I11" s="5">
        <f>'07 11825 National Blvd'!B9</f>
        <v>10019</v>
      </c>
      <c r="J11" s="6">
        <f>IF('07 11825 National Blvd'!B22="","",'07 11825 National Blvd'!B22)</f>
        <v>4595000</v>
      </c>
      <c r="K11" s="6">
        <f>IF('07 11825 National Blvd'!B23="","",'07 11825 National Blvd'!B23)</f>
        <v>353461.53846153844</v>
      </c>
      <c r="L11" s="7">
        <f>IF('07 11825 National Blvd'!B24="","",'07 11825 National Blvd'!B24)</f>
        <v>388.38644239709237</v>
      </c>
      <c r="M11" s="8">
        <f>IF('07 11825 National Blvd'!B25="","",'07 11825 National Blvd'!B25)</f>
        <v>5.7099999999999998E-2</v>
      </c>
      <c r="N11" s="9">
        <f>IF('07 11825 National Blvd'!B26="","",'07 11825 National Blvd'!B26)</f>
        <v>11.21</v>
      </c>
      <c r="O11" s="6">
        <f>IF('07 11825 National Blvd'!B53="","",'07 11825 National Blvd'!B53)</f>
        <v>10402.332086735742</v>
      </c>
      <c r="P11" s="6">
        <f>IF('07 11825 National Blvd'!D53="","",'07 11825 National Blvd'!D53)</f>
        <v>10707.573538461538</v>
      </c>
      <c r="Q11" s="3" t="str">
        <f>'07 11825 National Blvd'!B55</f>
        <v>OM expenses reasonable</v>
      </c>
      <c r="R11" s="6">
        <f>IF('07 11825 National Blvd'!B59="","",'07 11825 National Blvd'!B59)</f>
        <v>262374.5</v>
      </c>
      <c r="S11" s="6">
        <f>IF('07 11825 National Blvd'!C59="","",'07 11825 National Blvd'!C59)</f>
        <v>258400.66399999999</v>
      </c>
      <c r="T11" s="8">
        <f>IF('07 11825 National Blvd'!C60="","",'07 11825 National Blvd'!C60)</f>
        <v>5.623518258977149E-2</v>
      </c>
      <c r="U11" s="9">
        <f>IF('07 11825 National Blvd'!C61="","",'07 11825 National Blvd'!C61)</f>
        <v>11.210160626110037</v>
      </c>
      <c r="V11" s="8">
        <f>IF('07 11825 National Blvd'!B72="","",'07 11825 National Blvd'!B72)</f>
        <v>2.9758860397678246E-2</v>
      </c>
      <c r="W11" s="3" t="s">
        <v>34</v>
      </c>
      <c r="X11" s="3" t="s">
        <v>43</v>
      </c>
      <c r="Y11" s="3" t="s">
        <v>59</v>
      </c>
      <c r="Z11" s="3" t="s">
        <v>74</v>
      </c>
      <c r="AA11" s="10" t="s">
        <v>45</v>
      </c>
      <c r="AB11" s="10" t="s">
        <v>75</v>
      </c>
      <c r="AC11" s="4" t="s">
        <v>39</v>
      </c>
    </row>
    <row r="12" spans="1:29" x14ac:dyDescent="0.25">
      <c r="A12" s="3">
        <v>8</v>
      </c>
      <c r="B12" s="4" t="s">
        <v>76</v>
      </c>
      <c r="C12" s="3" t="s">
        <v>54</v>
      </c>
      <c r="D12" s="3" t="s">
        <v>55</v>
      </c>
      <c r="E12" s="3" t="s">
        <v>56</v>
      </c>
      <c r="F12" s="5">
        <f>'08 1811 S Bentley Ave'!B7</f>
        <v>15</v>
      </c>
      <c r="G12" s="3">
        <f>'08 1811 S Bentley Ave'!B11</f>
        <v>1964</v>
      </c>
      <c r="H12" s="5">
        <f>'08 1811 S Bentley Ave'!B8</f>
        <v>16568</v>
      </c>
      <c r="I12" s="5">
        <f>'08 1811 S Bentley Ave'!B9</f>
        <v>11761</v>
      </c>
      <c r="J12" s="6">
        <f>IF('08 1811 S Bentley Ave'!B22="","",'08 1811 S Bentley Ave'!B22)</f>
        <v>6350000</v>
      </c>
      <c r="K12" s="6">
        <f>IF('08 1811 S Bentley Ave'!B23="","",'08 1811 S Bentley Ave'!B23)</f>
        <v>423333.33333333331</v>
      </c>
      <c r="L12" s="7">
        <f>IF('08 1811 S Bentley Ave'!B24="","",'08 1811 S Bentley Ave'!B24)</f>
        <v>383.26895219700629</v>
      </c>
      <c r="M12" s="8">
        <f>IF('08 1811 S Bentley Ave'!B25="","",'08 1811 S Bentley Ave'!B25)</f>
        <v>5.6599999999999998E-2</v>
      </c>
      <c r="N12" s="9">
        <f>IF('08 1811 S Bentley Ave'!B26="","",'08 1811 S Bentley Ave'!B26)</f>
        <v>11.23</v>
      </c>
      <c r="O12" s="6">
        <f>IF('08 1811 S Bentley Ave'!B55="","",'08 1811 S Bentley Ave'!B55)</f>
        <v>12794.4</v>
      </c>
      <c r="P12" s="6">
        <f>IF('08 1811 S Bentley Ave'!D55="","",'08 1811 S Bentley Ave'!D55)</f>
        <v>13453.131466666668</v>
      </c>
      <c r="Q12" s="3" t="str">
        <f>'08 1811 S Bentley Ave'!B57</f>
        <v>OM EXPENSES LIGHT</v>
      </c>
      <c r="R12" s="6">
        <f>IF('08 1811 S Bentley Ave'!B61="","",'08 1811 S Bentley Ave'!B61)</f>
        <v>359434.25</v>
      </c>
      <c r="S12" s="6">
        <f>IF('08 1811 S Bentley Ave'!C61="","",'08 1811 S Bentley Ave'!C61)</f>
        <v>349482.46799999994</v>
      </c>
      <c r="T12" s="8">
        <f>IF('08 1811 S Bentley Ave'!C62="","",'08 1811 S Bentley Ave'!C62)</f>
        <v>5.5036609133858258E-2</v>
      </c>
      <c r="U12" s="9">
        <f>IF('08 1811 S Bentley Ave'!C63="","",'08 1811 S Bentley Ave'!C63)</f>
        <v>11.229954089825485</v>
      </c>
      <c r="V12" s="8">
        <f>IF('08 1811 S Bentley Ave'!B74="","",'08 1811 S Bentley Ave'!B74)</f>
        <v>2.7239634488874086E-2</v>
      </c>
      <c r="W12" s="3" t="s">
        <v>34</v>
      </c>
      <c r="X12" s="3" t="s">
        <v>77</v>
      </c>
      <c r="Y12" s="3" t="s">
        <v>78</v>
      </c>
      <c r="Z12" s="3" t="s">
        <v>79</v>
      </c>
      <c r="AA12" s="10" t="s">
        <v>545</v>
      </c>
      <c r="AB12" s="10"/>
      <c r="AC12" s="4" t="s">
        <v>39</v>
      </c>
    </row>
    <row r="13" spans="1:29" x14ac:dyDescent="0.25">
      <c r="A13" s="3">
        <v>9</v>
      </c>
      <c r="B13" s="4" t="s">
        <v>80</v>
      </c>
      <c r="C13" s="3" t="s">
        <v>54</v>
      </c>
      <c r="D13" s="3" t="s">
        <v>68</v>
      </c>
      <c r="E13" s="3" t="s">
        <v>69</v>
      </c>
      <c r="F13" s="5">
        <f>'09 3602 Keystone Ave'!B7</f>
        <v>10</v>
      </c>
      <c r="G13" s="3">
        <f>'09 3602 Keystone Ave'!B11</f>
        <v>1967</v>
      </c>
      <c r="H13" s="5">
        <f>'09 3602 Keystone Ave'!B8</f>
        <v>7032</v>
      </c>
      <c r="I13" s="5">
        <f>'09 3602 Keystone Ave'!B9</f>
        <v>7405</v>
      </c>
      <c r="J13" s="6">
        <f>IF('09 3602 Keystone Ave'!B22="","",'09 3602 Keystone Ave'!B22)</f>
        <v>2675000</v>
      </c>
      <c r="K13" s="6">
        <f>IF('09 3602 Keystone Ave'!B23="","",'09 3602 Keystone Ave'!B23)</f>
        <v>267500</v>
      </c>
      <c r="L13" s="7">
        <f>IF('09 3602 Keystone Ave'!B24="","",'09 3602 Keystone Ave'!B24)</f>
        <v>380.40386803185436</v>
      </c>
      <c r="M13" s="8">
        <f>IF('09 3602 Keystone Ave'!B25="","",'09 3602 Keystone Ave'!B25)</f>
        <v>5.6099999999999997E-2</v>
      </c>
      <c r="N13" s="9">
        <f>IF('09 3602 Keystone Ave'!B26="","",'09 3602 Keystone Ave'!B26)</f>
        <v>11.19</v>
      </c>
      <c r="O13" s="6">
        <f>IF('09 3602 Keystone Ave'!B54="","",'09 3602 Keystone Ave'!B54)</f>
        <v>8181.3643878462899</v>
      </c>
      <c r="P13" s="6">
        <f>IF('09 3602 Keystone Ave'!D54="","",'09 3602 Keystone Ave'!D54)</f>
        <v>9229.73</v>
      </c>
      <c r="Q13" s="3" t="str">
        <f>'09 3602 Keystone Ave'!B56</f>
        <v>OM EXPENSES LIGHT</v>
      </c>
      <c r="R13" s="6">
        <f>IF('09 3602 Keystone Ave'!B60="","",'09 3602 Keystone Ave'!B60)</f>
        <v>150067.5</v>
      </c>
      <c r="S13" s="6">
        <f>IF('09 3602 Keystone Ave'!C60="","",'09 3602 Keystone Ave'!C60)</f>
        <v>174258.7</v>
      </c>
      <c r="T13" s="8">
        <f>IF('09 3602 Keystone Ave'!C61="","",'09 3602 Keystone Ave'!C61)</f>
        <v>6.5143439252336455E-2</v>
      </c>
      <c r="U13" s="9">
        <f>IF('09 3602 Keystone Ave'!C62="","",'09 3602 Keystone Ave'!C62)</f>
        <v>9.7343522561863178</v>
      </c>
      <c r="V13" s="8">
        <f>IF('09 3602 Keystone Ave'!B73="","",'09 3602 Keystone Ave'!B73)</f>
        <v>5.2029502054090654E-2</v>
      </c>
      <c r="W13" s="3" t="s">
        <v>48</v>
      </c>
      <c r="X13" s="3" t="s">
        <v>81</v>
      </c>
      <c r="Y13" s="3" t="s">
        <v>82</v>
      </c>
      <c r="Z13" s="3" t="s">
        <v>83</v>
      </c>
      <c r="AA13" s="10" t="s">
        <v>38</v>
      </c>
      <c r="AB13" s="10" t="s">
        <v>84</v>
      </c>
      <c r="AC13" s="4" t="s">
        <v>39</v>
      </c>
    </row>
    <row r="14" spans="1:29" x14ac:dyDescent="0.25">
      <c r="A14" s="3">
        <v>10</v>
      </c>
      <c r="B14" s="4" t="s">
        <v>85</v>
      </c>
      <c r="C14" s="3" t="s">
        <v>32</v>
      </c>
      <c r="D14" s="3" t="s">
        <v>86</v>
      </c>
      <c r="E14" s="3" t="s">
        <v>32</v>
      </c>
      <c r="F14" s="5">
        <f>'10 2626 Cloverfield Blvd'!B7</f>
        <v>12</v>
      </c>
      <c r="G14" s="3">
        <f>'10 2626 Cloverfield Blvd'!B11</f>
        <v>0</v>
      </c>
      <c r="H14" s="5">
        <f>'10 2626 Cloverfield Blvd'!B8</f>
        <v>7280</v>
      </c>
      <c r="I14" s="5">
        <f>'10 2626 Cloverfield Blvd'!B9</f>
        <v>6098</v>
      </c>
      <c r="J14" s="6">
        <f>IF('10 2626 Cloverfield Blvd'!B22="","",'10 2626 Cloverfield Blvd'!B22)</f>
        <v>4750000</v>
      </c>
      <c r="K14" s="6">
        <f>IF('10 2626 Cloverfield Blvd'!B23="","",'10 2626 Cloverfield Blvd'!B23)</f>
        <v>395833.33333333331</v>
      </c>
      <c r="L14" s="7">
        <f>IF('10 2626 Cloverfield Blvd'!B24="","",'10 2626 Cloverfield Blvd'!B24)</f>
        <v>652.47252747252742</v>
      </c>
      <c r="M14" s="8">
        <f>IF('10 2626 Cloverfield Blvd'!B25="","",'10 2626 Cloverfield Blvd'!B25)</f>
        <v>5.5899999999999998E-2</v>
      </c>
      <c r="N14" s="9">
        <f>IF('10 2626 Cloverfield Blvd'!B26="","",'10 2626 Cloverfield Blvd'!B26)</f>
        <v>12.76</v>
      </c>
      <c r="O14" s="6">
        <f>IF('10 2626 Cloverfield Blvd'!B53="","",'10 2626 Cloverfield Blvd'!B53)</f>
        <v>7957.833333333333</v>
      </c>
      <c r="P14" s="6">
        <f>IF('10 2626 Cloverfield Blvd'!D53="","",'10 2626 Cloverfield Blvd'!D53)</f>
        <v>11012.4925</v>
      </c>
      <c r="Q14" s="3" t="str">
        <f>'10 2626 Cloverfield Blvd'!B55</f>
        <v>OM EXPENSES LIGHT</v>
      </c>
      <c r="R14" s="6">
        <f>IF('10 2626 Cloverfield Blvd'!B59="","",'10 2626 Cloverfield Blvd'!B59)</f>
        <v>265462.40000000002</v>
      </c>
      <c r="S14" s="6">
        <f>IF('10 2626 Cloverfield Blvd'!C59="","",'10 2626 Cloverfield Blvd'!C59)</f>
        <v>228748.29</v>
      </c>
      <c r="T14" s="8">
        <f>IF('10 2626 Cloverfield Blvd'!C60="","",'10 2626 Cloverfield Blvd'!C60)</f>
        <v>4.815753473684211E-2</v>
      </c>
      <c r="U14" s="9">
        <f>IF('10 2626 Cloverfield Blvd'!C61="","",'10 2626 Cloverfield Blvd'!C61)</f>
        <v>12.766758049776918</v>
      </c>
      <c r="V14" s="8">
        <f>IF('10 2626 Cloverfield Blvd'!B72="","",'10 2626 Cloverfield Blvd'!B72)</f>
        <v>2.0125379226306583E-2</v>
      </c>
      <c r="W14" s="3"/>
      <c r="X14" s="3" t="s">
        <v>87</v>
      </c>
      <c r="Y14" s="3" t="s">
        <v>88</v>
      </c>
      <c r="Z14" s="3" t="s">
        <v>83</v>
      </c>
      <c r="AA14" s="10" t="s">
        <v>549</v>
      </c>
      <c r="AB14" s="10"/>
      <c r="AC14" s="4" t="s">
        <v>39</v>
      </c>
    </row>
    <row r="15" spans="1:29" x14ac:dyDescent="0.25">
      <c r="A15" s="3">
        <v>11</v>
      </c>
      <c r="B15" s="4" t="s">
        <v>89</v>
      </c>
      <c r="C15" s="3" t="s">
        <v>32</v>
      </c>
      <c r="D15" s="3" t="s">
        <v>86</v>
      </c>
      <c r="E15" s="3" t="s">
        <v>32</v>
      </c>
      <c r="F15" s="5">
        <f>'11 440 Raymond Ave'!B7</f>
        <v>20</v>
      </c>
      <c r="G15" s="3">
        <f>'11 440 Raymond Ave'!B11</f>
        <v>1969</v>
      </c>
      <c r="H15" s="5">
        <f>'11 440 Raymond Ave'!B8</f>
        <v>15820</v>
      </c>
      <c r="I15" s="5">
        <f>'11 440 Raymond Ave'!B9</f>
        <v>13939</v>
      </c>
      <c r="J15" s="6">
        <f>IF('11 440 Raymond Ave'!B22="","",'11 440 Raymond Ave'!B22)</f>
        <v>7750000</v>
      </c>
      <c r="K15" s="6">
        <f>IF('11 440 Raymond Ave'!B23="","",'11 440 Raymond Ave'!B23)</f>
        <v>387500</v>
      </c>
      <c r="L15" s="7">
        <f>IF('11 440 Raymond Ave'!B24="","",'11 440 Raymond Ave'!B24)</f>
        <v>489.88621997471557</v>
      </c>
      <c r="M15" s="8">
        <f>IF('11 440 Raymond Ave'!B25="","",'11 440 Raymond Ave'!B25)</f>
        <v>5.57E-2</v>
      </c>
      <c r="N15" s="9">
        <f>IF('11 440 Raymond Ave'!B26="","",'11 440 Raymond Ave'!B26)</f>
        <v>12.15</v>
      </c>
      <c r="O15" s="6">
        <f>IF('11 440 Raymond Ave'!B53="","",'11 440 Raymond Ave'!B53)</f>
        <v>9339.4</v>
      </c>
      <c r="P15" s="6">
        <f>IF('11 440 Raymond Ave'!D53="","",'11 440 Raymond Ave'!D53)</f>
        <v>11153.8156</v>
      </c>
      <c r="Q15" s="3" t="str">
        <f>'11 440 Raymond Ave'!B55</f>
        <v>OM EXPENSES LIGHT</v>
      </c>
      <c r="R15" s="6">
        <f>IF('11 440 Raymond Ave'!B59="","",'11 440 Raymond Ave'!B59)</f>
        <v>433212.12</v>
      </c>
      <c r="S15" s="6">
        <f>IF('11 440 Raymond Ave'!C59="","",'11 440 Raymond Ave'!C59)</f>
        <v>395949.92799999996</v>
      </c>
      <c r="T15" s="8">
        <f>IF('11 440 Raymond Ave'!C60="","",'11 440 Raymond Ave'!C60)</f>
        <v>5.1090313290322577E-2</v>
      </c>
      <c r="U15" s="9">
        <f>IF('11 440 Raymond Ave'!C61="","",'11 440 Raymond Ave'!C61)</f>
        <v>12.297839388630766</v>
      </c>
      <c r="V15" s="8">
        <f>IF('11 440 Raymond Ave'!B72="","",'11 440 Raymond Ave'!B72)</f>
        <v>2.2868380046038028E-2</v>
      </c>
      <c r="W15" s="3" t="s">
        <v>90</v>
      </c>
      <c r="X15" s="3" t="s">
        <v>91</v>
      </c>
      <c r="Y15" s="3" t="s">
        <v>92</v>
      </c>
      <c r="Z15" s="3" t="s">
        <v>93</v>
      </c>
      <c r="AA15" s="10" t="s">
        <v>38</v>
      </c>
      <c r="AB15" s="10"/>
      <c r="AC15" s="4" t="s">
        <v>39</v>
      </c>
    </row>
    <row r="16" spans="1:29" x14ac:dyDescent="0.25">
      <c r="A16" s="3">
        <v>12</v>
      </c>
      <c r="B16" s="4" t="s">
        <v>94</v>
      </c>
      <c r="C16" s="3" t="s">
        <v>95</v>
      </c>
      <c r="D16" s="3" t="s">
        <v>96</v>
      </c>
      <c r="E16" s="3" t="s">
        <v>95</v>
      </c>
      <c r="F16" s="5">
        <f>'12 1429 Havenhurst Dr'!B7</f>
        <v>18</v>
      </c>
      <c r="G16" s="3">
        <f>'12 1429 Havenhurst Dr'!B11</f>
        <v>1949</v>
      </c>
      <c r="H16" s="5">
        <f>'12 1429 Havenhurst Dr'!B8</f>
        <v>13824</v>
      </c>
      <c r="I16" s="5">
        <f>'12 1429 Havenhurst Dr'!B9</f>
        <v>15246</v>
      </c>
      <c r="J16" s="6">
        <f>IF('12 1429 Havenhurst Dr'!B22="","",'12 1429 Havenhurst Dr'!B22)</f>
        <v>4800000</v>
      </c>
      <c r="K16" s="6">
        <f>IF('12 1429 Havenhurst Dr'!B23="","",'12 1429 Havenhurst Dr'!B23)</f>
        <v>266666.66666666669</v>
      </c>
      <c r="L16" s="7">
        <f>IF('12 1429 Havenhurst Dr'!B24="","",'12 1429 Havenhurst Dr'!B24)</f>
        <v>347.22222222222223</v>
      </c>
      <c r="M16" s="8">
        <f>IF('12 1429 Havenhurst Dr'!B25="","",'12 1429 Havenhurst Dr'!B25)</f>
        <v>5.5599999999999997E-2</v>
      </c>
      <c r="N16" s="9">
        <f>IF('12 1429 Havenhurst Dr'!B26="","",'12 1429 Havenhurst Dr'!B26)</f>
        <v>13.6</v>
      </c>
      <c r="O16" s="6">
        <f>IF('12 1429 Havenhurst Dr'!B53="","",'12 1429 Havenhurst Dr'!B53)</f>
        <v>4763.3888888888887</v>
      </c>
      <c r="P16" s="6">
        <f>IF('12 1429 Havenhurst Dr'!D53="","",'12 1429 Havenhurst Dr'!D53)</f>
        <v>8976.46688888889</v>
      </c>
      <c r="Q16" s="3" t="str">
        <f>'12 1429 Havenhurst Dr'!B55</f>
        <v>OM EXPENSES LIGHT</v>
      </c>
      <c r="R16" s="6">
        <f>IF('12 1429 Havenhurst Dr'!B59="","",'12 1429 Havenhurst Dr'!B59)</f>
        <v>295343.94</v>
      </c>
      <c r="S16" s="6">
        <f>IF('12 1429 Havenhurst Dr'!C59="","",'12 1429 Havenhurst Dr'!C59)</f>
        <v>219471.67600000001</v>
      </c>
      <c r="T16" s="8">
        <f>IF('12 1429 Havenhurst Dr'!C60="","",'12 1429 Havenhurst Dr'!C60)</f>
        <v>4.5723265833333332E-2</v>
      </c>
      <c r="U16" s="9">
        <f>IF('12 1429 Havenhurst Dr'!C61="","",'12 1429 Havenhurst Dr'!C61)</f>
        <v>12.394645513138324</v>
      </c>
      <c r="V16" s="8">
        <f>IF('12 1429 Havenhurst Dr'!B72="","",'12 1429 Havenhurst Dr'!B72)</f>
        <v>1.8110656303870615E-2</v>
      </c>
      <c r="W16" s="3" t="s">
        <v>34</v>
      </c>
      <c r="X16" s="3" t="s">
        <v>97</v>
      </c>
      <c r="Y16" s="3" t="s">
        <v>98</v>
      </c>
      <c r="Z16" s="3" t="s">
        <v>99</v>
      </c>
      <c r="AA16" s="10" t="s">
        <v>553</v>
      </c>
      <c r="AB16" s="10"/>
      <c r="AC16" s="4" t="s">
        <v>39</v>
      </c>
    </row>
    <row r="17" spans="1:29" x14ac:dyDescent="0.25">
      <c r="A17" s="3">
        <v>13</v>
      </c>
      <c r="B17" s="4" t="s">
        <v>100</v>
      </c>
      <c r="C17" s="3" t="s">
        <v>54</v>
      </c>
      <c r="D17" s="3" t="s">
        <v>55</v>
      </c>
      <c r="E17" s="3" t="s">
        <v>56</v>
      </c>
      <c r="F17" s="5">
        <f>'13 1524 Granville Ave'!B7</f>
        <v>10</v>
      </c>
      <c r="G17" s="3">
        <f>'13 1524 Granville Ave'!B11</f>
        <v>1988</v>
      </c>
      <c r="H17" s="5">
        <f>'13 1524 Granville Ave'!B8</f>
        <v>14298</v>
      </c>
      <c r="I17" s="5">
        <f>'13 1524 Granville Ave'!B9</f>
        <v>6970</v>
      </c>
      <c r="J17" s="6">
        <f>IF('13 1524 Granville Ave'!B22="","",'13 1524 Granville Ave'!B22)</f>
        <v>5250000</v>
      </c>
      <c r="K17" s="6">
        <f>IF('13 1524 Granville Ave'!B23="","",'13 1524 Granville Ave'!B23)</f>
        <v>525000</v>
      </c>
      <c r="L17" s="7">
        <f>IF('13 1524 Granville Ave'!B24="","",'13 1524 Granville Ave'!B24)</f>
        <v>367.1842215694503</v>
      </c>
      <c r="M17" s="8">
        <f>IF('13 1524 Granville Ave'!B25="","",'13 1524 Granville Ave'!B25)</f>
        <v>5.5399999999999998E-2</v>
      </c>
      <c r="N17" s="9">
        <f>IF('13 1524 Granville Ave'!B26="","",'13 1524 Granville Ave'!B26)</f>
        <v>11.87</v>
      </c>
      <c r="O17" s="6">
        <f>IF('13 1524 Granville Ave'!B53="","",'13 1524 Granville Ave'!B53)</f>
        <v>13805.8</v>
      </c>
      <c r="P17" s="6">
        <f>IF('13 1524 Granville Ave'!D53="","",'13 1524 Granville Ave'!D53)</f>
        <v>15561.8372</v>
      </c>
      <c r="Q17" s="3" t="str">
        <f>'13 1524 Granville Ave'!B55</f>
        <v>OM EXPENSES LIGHT</v>
      </c>
      <c r="R17" s="6">
        <f>IF('13 1524 Granville Ave'!B59="","",'13 1524 Granville Ave'!B59)</f>
        <v>290817.8</v>
      </c>
      <c r="S17" s="6">
        <f>IF('13 1524 Granville Ave'!C59="","",'13 1524 Granville Ave'!C59)</f>
        <v>273269.06799999997</v>
      </c>
      <c r="T17" s="8">
        <f>IF('13 1524 Granville Ave'!C60="","",'13 1524 Granville Ave'!C60)</f>
        <v>5.205125104761904E-2</v>
      </c>
      <c r="U17" s="9">
        <f>IF('13 1524 Granville Ave'!C61="","",'13 1524 Granville Ave'!C61)</f>
        <v>11.873744775552298</v>
      </c>
      <c r="V17" s="8">
        <f>IF('13 1524 Granville Ave'!B72="","",'13 1524 Granville Ave'!B72)</f>
        <v>2.3853958935882744E-2</v>
      </c>
      <c r="W17" s="3" t="s">
        <v>101</v>
      </c>
      <c r="X17" s="3" t="s">
        <v>43</v>
      </c>
      <c r="Y17" s="3" t="s">
        <v>59</v>
      </c>
      <c r="Z17" s="3" t="s">
        <v>79</v>
      </c>
      <c r="AA17" s="10" t="s">
        <v>545</v>
      </c>
      <c r="AB17" s="10" t="s">
        <v>102</v>
      </c>
      <c r="AC17" s="4" t="s">
        <v>39</v>
      </c>
    </row>
    <row r="18" spans="1:29" x14ac:dyDescent="0.25">
      <c r="A18" s="11">
        <v>14</v>
      </c>
      <c r="B18" s="12" t="s">
        <v>103</v>
      </c>
      <c r="C18" s="11" t="s">
        <v>54</v>
      </c>
      <c r="D18" s="11" t="s">
        <v>104</v>
      </c>
      <c r="E18" s="11" t="s">
        <v>105</v>
      </c>
      <c r="F18" s="13">
        <f>'14 1041 S Corning St'!B7</f>
        <v>15</v>
      </c>
      <c r="G18" s="11">
        <f>'14 1041 S Corning St'!B11</f>
        <v>1962</v>
      </c>
      <c r="H18" s="13">
        <f>'14 1041 S Corning St'!B8</f>
        <v>16234</v>
      </c>
      <c r="I18" s="13">
        <f>'14 1041 S Corning St'!B9</f>
        <v>12197</v>
      </c>
      <c r="J18" s="14">
        <f>IF('14 1041 S Corning St'!B22="","",'14 1041 S Corning St'!B22)</f>
        <v>4700000</v>
      </c>
      <c r="K18" s="14">
        <f>IF('14 1041 S Corning St'!B23="","",'14 1041 S Corning St'!B23)</f>
        <v>313333.33333333331</v>
      </c>
      <c r="L18" s="15">
        <f>IF('14 1041 S Corning St'!B24="","",'14 1041 S Corning St'!B24)</f>
        <v>289.515830972034</v>
      </c>
      <c r="M18" s="16">
        <f>IF('14 1041 S Corning St'!B25="","",'14 1041 S Corning St'!B25)</f>
        <v>5.5E-2</v>
      </c>
      <c r="N18" s="17">
        <f>IF('14 1041 S Corning St'!B26="","",'14 1041 S Corning St'!B26)</f>
        <v>10.48</v>
      </c>
      <c r="O18" s="14">
        <f>IF('14 1041 S Corning St'!B55="","",'14 1041 S Corning St'!B55)</f>
        <v>11172.4</v>
      </c>
      <c r="P18" s="14">
        <f>IF('14 1041 S Corning St'!D55="","",'14 1041 S Corning St'!D55)</f>
        <v>12429.9848</v>
      </c>
      <c r="Q18" s="11" t="str">
        <f>'14 1041 S Corning St'!B57</f>
        <v>OM EXPENSES LIGHT</v>
      </c>
      <c r="R18" s="14">
        <f>IF('14 1041 S Corning St'!B61="","",'14 1041 S Corning St'!B61)</f>
        <v>258961.8</v>
      </c>
      <c r="S18" s="14">
        <f>IF('14 1041 S Corning St'!C61="","",'14 1041 S Corning St'!C61)</f>
        <v>248905.66800000001</v>
      </c>
      <c r="T18" s="16">
        <f>IF('14 1041 S Corning St'!C62="","",'14 1041 S Corning St'!C62)</f>
        <v>5.2958652765957445E-2</v>
      </c>
      <c r="U18" s="17">
        <f>IF('14 1041 S Corning St'!C63="","",'14 1041 S Corning St'!C63)</f>
        <v>10.658756508644933</v>
      </c>
      <c r="V18" s="16">
        <f>IF('14 1041 S Corning St'!B74="","",'14 1041 S Corning St'!B74)</f>
        <v>2.4828762346326472E-2</v>
      </c>
      <c r="W18" s="11"/>
      <c r="X18" s="11" t="s">
        <v>106</v>
      </c>
      <c r="Y18" s="11" t="s">
        <v>107</v>
      </c>
      <c r="Z18" s="11" t="s">
        <v>108</v>
      </c>
      <c r="AA18" s="18" t="s">
        <v>549</v>
      </c>
      <c r="AB18" s="18" t="s">
        <v>109</v>
      </c>
      <c r="AC18" s="12" t="s">
        <v>39</v>
      </c>
    </row>
    <row r="19" spans="1:29" x14ac:dyDescent="0.25">
      <c r="A19" s="3">
        <v>15</v>
      </c>
      <c r="B19" s="4" t="s">
        <v>110</v>
      </c>
      <c r="C19" s="3" t="s">
        <v>41</v>
      </c>
      <c r="D19" s="3" t="s">
        <v>42</v>
      </c>
      <c r="E19" s="3" t="s">
        <v>41</v>
      </c>
      <c r="F19" s="5">
        <f>'15 20 Brooks Ave'!B7</f>
        <v>18</v>
      </c>
      <c r="G19" s="3">
        <f>'15 20 Brooks Ave'!B11</f>
        <v>1909</v>
      </c>
      <c r="H19" s="5">
        <f>'15 20 Brooks Ave'!B8</f>
        <v>11616</v>
      </c>
      <c r="I19" s="5">
        <f>'15 20 Brooks Ave'!B9</f>
        <v>6098</v>
      </c>
      <c r="J19" s="6">
        <f>IF('15 20 Brooks Ave'!B22="","",'15 20 Brooks Ave'!B22)</f>
        <v>5600000</v>
      </c>
      <c r="K19" s="6">
        <f>IF('15 20 Brooks Ave'!B23="","",'15 20 Brooks Ave'!B23)</f>
        <v>311111.11111111112</v>
      </c>
      <c r="L19" s="7">
        <f>IF('15 20 Brooks Ave'!B24="","",'15 20 Brooks Ave'!B24)</f>
        <v>482.09366391184574</v>
      </c>
      <c r="M19" s="8">
        <f>IF('15 20 Brooks Ave'!B25="","",'15 20 Brooks Ave'!B25)</f>
        <v>5.4800000000000001E-2</v>
      </c>
      <c r="N19" s="9">
        <f>IF('15 20 Brooks Ave'!B26="","",'15 20 Brooks Ave'!B26)</f>
        <v>9.1199999999999992</v>
      </c>
      <c r="O19" s="6">
        <f>IF('15 20 Brooks Ave'!B54="","",'15 20 Brooks Ave'!B54)</f>
        <v>16040.779727095518</v>
      </c>
      <c r="P19" s="6">
        <f>IF('15 20 Brooks Ave'!D54="","",'15 20 Brooks Ave'!D54)</f>
        <v>10038.751222222221</v>
      </c>
      <c r="Q19" s="3" t="str">
        <f>'15 20 Brooks Ave'!B56</f>
        <v>OM expenses reasonable</v>
      </c>
      <c r="R19" s="6">
        <f>IF('15 20 Brooks Ave'!B60="","",'15 20 Brooks Ave'!B60)</f>
        <v>306880</v>
      </c>
      <c r="S19" s="6">
        <f>IF('15 20 Brooks Ave'!C60="","",'15 20 Brooks Ave'!C60)</f>
        <v>414932.91799999995</v>
      </c>
      <c r="T19" s="8">
        <f>IF('15 20 Brooks Ave'!C61="","",'15 20 Brooks Ave'!C61)</f>
        <v>7.409516392857142E-2</v>
      </c>
      <c r="U19" s="9">
        <f>IF('15 20 Brooks Ave'!C62="","",'15 20 Brooks Ave'!C62)</f>
        <v>9.1197488160611808</v>
      </c>
      <c r="V19" s="8">
        <f>IF('15 20 Brooks Ave'!B73="","",'15 20 Brooks Ave'!B73)</f>
        <v>7.440881374467806E-2</v>
      </c>
      <c r="W19" s="3"/>
      <c r="X19" s="3" t="s">
        <v>111</v>
      </c>
      <c r="Y19" s="3" t="s">
        <v>112</v>
      </c>
      <c r="Z19" s="3" t="s">
        <v>113</v>
      </c>
      <c r="AA19" s="10" t="s">
        <v>45</v>
      </c>
      <c r="AB19" s="10" t="s">
        <v>114</v>
      </c>
      <c r="AC19" s="4" t="s">
        <v>39</v>
      </c>
    </row>
    <row r="20" spans="1:29" x14ac:dyDescent="0.25">
      <c r="A20" s="3">
        <v>16</v>
      </c>
      <c r="B20" s="4" t="s">
        <v>115</v>
      </c>
      <c r="C20" s="3" t="s">
        <v>116</v>
      </c>
      <c r="D20" s="3" t="s">
        <v>117</v>
      </c>
      <c r="E20" s="3" t="s">
        <v>116</v>
      </c>
      <c r="F20" s="5">
        <f>'16 3827 Tilden Ave'!B7</f>
        <v>10</v>
      </c>
      <c r="G20" s="3">
        <f>'16 3827 Tilden Ave'!B11</f>
        <v>1957</v>
      </c>
      <c r="H20" s="5">
        <f>'16 3827 Tilden Ave'!B8</f>
        <v>9340</v>
      </c>
      <c r="I20" s="5">
        <f>'16 3827 Tilden Ave'!B9</f>
        <v>10890</v>
      </c>
      <c r="J20" s="6">
        <f>IF('16 3827 Tilden Ave'!B22="","",'16 3827 Tilden Ave'!B22)</f>
        <v>3450000</v>
      </c>
      <c r="K20" s="6">
        <f>IF('16 3827 Tilden Ave'!B23="","",'16 3827 Tilden Ave'!B23)</f>
        <v>345000</v>
      </c>
      <c r="L20" s="7">
        <f>IF('16 3827 Tilden Ave'!B24="","",'16 3827 Tilden Ave'!B24)</f>
        <v>369.37901498929335</v>
      </c>
      <c r="M20" s="8">
        <f>IF('16 3827 Tilden Ave'!B25="","",'16 3827 Tilden Ave'!B25)</f>
        <v>5.4199999999999998E-2</v>
      </c>
      <c r="N20" s="9" t="str">
        <f>IF('16 3827 Tilden Ave'!B26="","",'16 3827 Tilden Ave'!B26)</f>
        <v/>
      </c>
      <c r="O20" s="6">
        <f>IF('16 3827 Tilden Ave'!B54="","",'16 3827 Tilden Ave'!B54)</f>
        <v>0</v>
      </c>
      <c r="P20" s="6">
        <f>IF('16 3827 Tilden Ave'!D54="","",'16 3827 Tilden Ave'!D54)</f>
        <v>10601.22</v>
      </c>
      <c r="Q20" s="3" t="str">
        <f>'16 3827 Tilden Ave'!B56</f>
        <v>OM expenses not published</v>
      </c>
      <c r="R20" s="6">
        <f>IF('16 3827 Tilden Ave'!B60="","",'16 3827 Tilden Ave'!B60)</f>
        <v>186990</v>
      </c>
      <c r="S20" s="6">
        <f>IF('16 3827 Tilden Ave'!C60="","",'16 3827 Tilden Ave'!C60)</f>
        <v>209431.8</v>
      </c>
      <c r="T20" s="8">
        <f>IF('16 3827 Tilden Ave'!C61="","",'16 3827 Tilden Ave'!C61)</f>
        <v>6.0704869565217388E-2</v>
      </c>
      <c r="U20" s="9">
        <f>IF('16 3827 Tilden Ave'!C62="","",'16 3827 Tilden Ave'!C62)</f>
        <v>10.608856088560886</v>
      </c>
      <c r="V20" s="8">
        <f>IF('16 3827 Tilden Ave'!B73="","",'16 3827 Tilden Ave'!B73)</f>
        <v>4.0933077836293005E-2</v>
      </c>
      <c r="W20" s="3" t="s">
        <v>34</v>
      </c>
      <c r="X20" s="3" t="s">
        <v>118</v>
      </c>
      <c r="Y20" s="3" t="s">
        <v>119</v>
      </c>
      <c r="Z20" s="3" t="s">
        <v>93</v>
      </c>
      <c r="AA20" s="10" t="s">
        <v>120</v>
      </c>
      <c r="AB20" s="10" t="s">
        <v>121</v>
      </c>
      <c r="AC20" s="4" t="s">
        <v>39</v>
      </c>
    </row>
    <row r="21" spans="1:29" x14ac:dyDescent="0.25">
      <c r="A21" s="3">
        <v>17</v>
      </c>
      <c r="B21" s="4" t="s">
        <v>122</v>
      </c>
      <c r="C21" s="3" t="s">
        <v>95</v>
      </c>
      <c r="D21" s="3" t="s">
        <v>96</v>
      </c>
      <c r="E21" s="3" t="s">
        <v>95</v>
      </c>
      <c r="F21" s="5">
        <f>'17 900 N Orange Grove Ave'!B7</f>
        <v>20</v>
      </c>
      <c r="G21" s="3">
        <f>'17 900 N Orange Grove Ave'!B11</f>
        <v>1957</v>
      </c>
      <c r="H21" s="5">
        <f>'17 900 N Orange Grove Ave'!B8</f>
        <v>14556</v>
      </c>
      <c r="I21" s="5">
        <f>'17 900 N Orange Grove Ave'!B9</f>
        <v>12632</v>
      </c>
      <c r="J21" s="6">
        <f>IF('17 900 N Orange Grove Ave'!B22="","",'17 900 N Orange Grove Ave'!B22)</f>
        <v>4150000</v>
      </c>
      <c r="K21" s="6">
        <f>IF('17 900 N Orange Grove Ave'!B23="","",'17 900 N Orange Grove Ave'!B23)</f>
        <v>207500</v>
      </c>
      <c r="L21" s="7">
        <f>IF('17 900 N Orange Grove Ave'!B24="","",'17 900 N Orange Grove Ave'!B24)</f>
        <v>285.10579829623521</v>
      </c>
      <c r="M21" s="8">
        <f>IF('17 900 N Orange Grove Ave'!B25="","",'17 900 N Orange Grove Ave'!B25)</f>
        <v>5.3199999999999997E-2</v>
      </c>
      <c r="N21" s="9">
        <f>IF('17 900 N Orange Grove Ave'!B26="","",'17 900 N Orange Grove Ave'!B26)</f>
        <v>10.38</v>
      </c>
      <c r="O21" s="6">
        <f>IF('17 900 N Orange Grove Ave'!B55="","",'17 900 N Orange Grove Ave'!B55)</f>
        <v>8703.5</v>
      </c>
      <c r="P21" s="6">
        <f>IF('17 900 N Orange Grove Ave'!D55="","",'17 900 N Orange Grove Ave'!D55)</f>
        <v>9502.4665000000005</v>
      </c>
      <c r="Q21" s="3" t="str">
        <f>'17 900 N Orange Grove Ave'!B57</f>
        <v>OM EXPENSES LIGHT</v>
      </c>
      <c r="R21" s="6">
        <f>IF('17 900 N Orange Grove Ave'!B61="","",'17 900 N Orange Grove Ave'!B61)</f>
        <v>220657.56</v>
      </c>
      <c r="S21" s="6">
        <f>IF('17 900 N Orange Grove Ave'!C61="","",'17 900 N Orange Grove Ave'!C61)</f>
        <v>200737.26999999996</v>
      </c>
      <c r="T21" s="8">
        <f>IF('17 900 N Orange Grove Ave'!C62="","",'17 900 N Orange Grove Ave'!C62)</f>
        <v>4.8370426506024085E-2</v>
      </c>
      <c r="U21" s="9">
        <f>IF('17 900 N Orange Grove Ave'!C63="","",'17 900 N Orange Grove Ave'!C63)</f>
        <v>10.38070939016459</v>
      </c>
      <c r="V21" s="8">
        <f>IF('17 900 N Orange Grove Ave'!B74="","",'17 900 N Orange Grove Ave'!B74)</f>
        <v>2.0312182887097231E-2</v>
      </c>
      <c r="W21" s="3"/>
      <c r="X21" s="3" t="s">
        <v>123</v>
      </c>
      <c r="Y21" s="3" t="s">
        <v>124</v>
      </c>
      <c r="Z21" s="3" t="s">
        <v>125</v>
      </c>
      <c r="AA21" s="10" t="s">
        <v>553</v>
      </c>
      <c r="AB21" s="10" t="s">
        <v>126</v>
      </c>
      <c r="AC21" s="4" t="s">
        <v>39</v>
      </c>
    </row>
    <row r="22" spans="1:29" x14ac:dyDescent="0.25">
      <c r="A22" s="3">
        <v>18</v>
      </c>
      <c r="B22" s="4" t="s">
        <v>127</v>
      </c>
      <c r="C22" s="3" t="s">
        <v>54</v>
      </c>
      <c r="D22" s="3" t="s">
        <v>128</v>
      </c>
      <c r="E22" s="3" t="s">
        <v>129</v>
      </c>
      <c r="F22" s="5">
        <f>'18 11401 Washington Pl'!B7</f>
        <v>10</v>
      </c>
      <c r="G22" s="3">
        <f>'18 11401 Washington Pl'!B11</f>
        <v>1954</v>
      </c>
      <c r="H22" s="5">
        <f>'18 11401 Washington Pl'!B8</f>
        <v>7129</v>
      </c>
      <c r="I22" s="5">
        <f>'18 11401 Washington Pl'!B9</f>
        <v>7841</v>
      </c>
      <c r="J22" s="6">
        <f>IF('18 11401 Washington Pl'!B22="","",'18 11401 Washington Pl'!B22)</f>
        <v>2795000</v>
      </c>
      <c r="K22" s="6">
        <f>IF('18 11401 Washington Pl'!B23="","",'18 11401 Washington Pl'!B23)</f>
        <v>279500</v>
      </c>
      <c r="L22" s="7">
        <f>IF('18 11401 Washington Pl'!B24="","",'18 11401 Washington Pl'!B24)</f>
        <v>392.06059755926498</v>
      </c>
      <c r="M22" s="8">
        <f>IF('18 11401 Washington Pl'!B25="","",'18 11401 Washington Pl'!B25)</f>
        <v>5.2999999999999999E-2</v>
      </c>
      <c r="N22" s="9">
        <f>IF('18 11401 Washington Pl'!B26="","",'18 11401 Washington Pl'!B26)</f>
        <v>12.3</v>
      </c>
      <c r="O22" s="6">
        <f>IF('18 11401 Washington Pl'!B53="","",'18 11401 Washington Pl'!B53)</f>
        <v>7228.3699186991871</v>
      </c>
      <c r="P22" s="6">
        <f>IF('18 11401 Washington Pl'!D53="","",'18 11401 Washington Pl'!D53)</f>
        <v>9158.0850000000009</v>
      </c>
      <c r="Q22" s="3" t="str">
        <f>'18 11401 Washington Pl'!B55</f>
        <v>OM EXPENSES LIGHT</v>
      </c>
      <c r="R22" s="6">
        <f>IF('18 11401 Washington Pl'!B59="","",'18 11401 Washington Pl'!B59)</f>
        <v>148135</v>
      </c>
      <c r="S22" s="6">
        <f>IF('18 11401 Washington Pl'!C59="","",'18 11401 Washington Pl'!C59)</f>
        <v>128706.15</v>
      </c>
      <c r="T22" s="8">
        <f>IF('18 11401 Washington Pl'!C60="","",'18 11401 Washington Pl'!C60)</f>
        <v>4.6048711985688731E-2</v>
      </c>
      <c r="U22" s="9">
        <f>IF('18 11401 Washington Pl'!C61="","",'18 11401 Washington Pl'!C61)</f>
        <v>12.307353588727432</v>
      </c>
      <c r="V22" s="8">
        <f>IF('18 11401 Washington Pl'!B72="","",'18 11401 Washington Pl'!B72)</f>
        <v>1.8367745879135929E-2</v>
      </c>
      <c r="W22" s="3" t="s">
        <v>101</v>
      </c>
      <c r="X22" s="3" t="s">
        <v>130</v>
      </c>
      <c r="Y22" s="3" t="s">
        <v>131</v>
      </c>
      <c r="Z22" s="3" t="s">
        <v>37</v>
      </c>
      <c r="AA22" s="10" t="s">
        <v>38</v>
      </c>
      <c r="AB22" s="10"/>
      <c r="AC22" s="4" t="s">
        <v>39</v>
      </c>
    </row>
    <row r="23" spans="1:29" x14ac:dyDescent="0.25">
      <c r="A23" s="3">
        <v>19</v>
      </c>
      <c r="B23" s="4" t="s">
        <v>132</v>
      </c>
      <c r="C23" s="3" t="s">
        <v>95</v>
      </c>
      <c r="D23" s="3" t="s">
        <v>96</v>
      </c>
      <c r="E23" s="3" t="s">
        <v>95</v>
      </c>
      <c r="F23" s="5">
        <f>'19 7526 Fountain Ave'!B7</f>
        <v>10</v>
      </c>
      <c r="G23" s="3">
        <f>'19 7526 Fountain Ave'!B11</f>
        <v>1955</v>
      </c>
      <c r="H23" s="5">
        <f>'19 7526 Fountain Ave'!B8</f>
        <v>7747</v>
      </c>
      <c r="I23" s="5">
        <f>'19 7526 Fountain Ave'!B9</f>
        <v>7405</v>
      </c>
      <c r="J23" s="6">
        <f>IF('19 7526 Fountain Ave'!B22="","",'19 7526 Fountain Ave'!B22)</f>
        <v>2400000</v>
      </c>
      <c r="K23" s="6">
        <f>IF('19 7526 Fountain Ave'!B23="","",'19 7526 Fountain Ave'!B23)</f>
        <v>240000</v>
      </c>
      <c r="L23" s="7">
        <f>IF('19 7526 Fountain Ave'!B24="","",'19 7526 Fountain Ave'!B24)</f>
        <v>309.79734090615722</v>
      </c>
      <c r="M23" s="8">
        <f>IF('19 7526 Fountain Ave'!B25="","",'19 7526 Fountain Ave'!B25)</f>
        <v>5.2900000000000003E-2</v>
      </c>
      <c r="N23" s="9">
        <f>IF('19 7526 Fountain Ave'!B26="","",'19 7526 Fountain Ave'!B26)</f>
        <v>11.44</v>
      </c>
      <c r="O23" s="6">
        <f>IF('19 7526 Fountain Ave'!B54="","",'19 7526 Fountain Ave'!B54)</f>
        <v>7653.6503496503519</v>
      </c>
      <c r="P23" s="6">
        <f>IF('19 7526 Fountain Ave'!D54="","",'19 7526 Fountain Ave'!D54)</f>
        <v>8384.0562000000009</v>
      </c>
      <c r="Q23" s="3" t="str">
        <f>'19 7526 Fountain Ave'!B56</f>
        <v>OM EXPENSES LIGHT</v>
      </c>
      <c r="R23" s="6">
        <f>IF('19 7526 Fountain Ave'!B60="","",'19 7526 Fountain Ave'!B60)</f>
        <v>126960</v>
      </c>
      <c r="S23" s="6">
        <f>IF('19 7526 Fountain Ave'!C60="","",'19 7526 Fountain Ave'!C60)</f>
        <v>72030.677999999985</v>
      </c>
      <c r="T23" s="8">
        <f>IF('19 7526 Fountain Ave'!C61="","",'19 7526 Fountain Ave'!C61)</f>
        <v>3.0012782499999995E-2</v>
      </c>
      <c r="U23" s="9">
        <f>IF('19 7526 Fountain Ave'!C62="","",'19 7526 Fountain Ave'!C62)</f>
        <v>14.935404376073482</v>
      </c>
      <c r="V23" s="8">
        <f>IF('19 7526 Fountain Ave'!B73="","",'19 7526 Fountain Ave'!B73)</f>
        <v>8.8921869057070682E-3</v>
      </c>
      <c r="W23" s="3" t="s">
        <v>101</v>
      </c>
      <c r="X23" s="3" t="s">
        <v>133</v>
      </c>
      <c r="Y23" s="3" t="s">
        <v>134</v>
      </c>
      <c r="Z23" s="3" t="s">
        <v>44</v>
      </c>
      <c r="AA23" s="10" t="s">
        <v>38</v>
      </c>
      <c r="AB23" s="10"/>
      <c r="AC23" s="4" t="s">
        <v>39</v>
      </c>
    </row>
    <row r="24" spans="1:29" x14ac:dyDescent="0.25">
      <c r="A24" s="3">
        <v>20</v>
      </c>
      <c r="B24" s="4" t="s">
        <v>135</v>
      </c>
      <c r="C24" s="3" t="s">
        <v>32</v>
      </c>
      <c r="D24" s="3" t="s">
        <v>136</v>
      </c>
      <c r="E24" s="3" t="s">
        <v>32</v>
      </c>
      <c r="F24" s="5">
        <f>'20 1942 Euclid St'!B7</f>
        <v>15</v>
      </c>
      <c r="G24" s="3">
        <f>'20 1942 Euclid St'!B11</f>
        <v>1962</v>
      </c>
      <c r="H24" s="5">
        <f>'20 1942 Euclid St'!B8</f>
        <v>8822</v>
      </c>
      <c r="I24" s="5">
        <f>'20 1942 Euclid St'!B9</f>
        <v>7405</v>
      </c>
      <c r="J24" s="6">
        <f>IF('20 1942 Euclid St'!B22="","",'20 1942 Euclid St'!B22)</f>
        <v>3475000</v>
      </c>
      <c r="K24" s="6">
        <f>IF('20 1942 Euclid St'!B23="","",'20 1942 Euclid St'!B23)</f>
        <v>231666.66666666666</v>
      </c>
      <c r="L24" s="7">
        <f>IF('20 1942 Euclid St'!B24="","",'20 1942 Euclid St'!B24)</f>
        <v>393.90160961233278</v>
      </c>
      <c r="M24" s="8">
        <f>IF('20 1942 Euclid St'!B25="","",'20 1942 Euclid St'!B25)</f>
        <v>5.16E-2</v>
      </c>
      <c r="N24" s="9">
        <f>IF('20 1942 Euclid St'!B26="","",'20 1942 Euclid St'!B26)</f>
        <v>12.17</v>
      </c>
      <c r="O24" s="6">
        <f>IF('20 1942 Euclid St'!B55="","",'20 1942 Euclid St'!B55)</f>
        <v>6510.8041632429504</v>
      </c>
      <c r="P24" s="6">
        <f>IF('20 1942 Euclid St'!D55="","",'20 1942 Euclid St'!D55)</f>
        <v>8325.6236000000008</v>
      </c>
      <c r="Q24" s="3" t="str">
        <f>'20 1942 Euclid St'!B57</f>
        <v>OM EXPENSES LIGHT</v>
      </c>
      <c r="R24" s="6">
        <f>IF('20 1942 Euclid St'!B61="","",'20 1942 Euclid St'!B61)</f>
        <v>179310</v>
      </c>
      <c r="S24" s="6">
        <f>IF('20 1942 Euclid St'!C61="","",'20 1942 Euclid St'!C61)</f>
        <v>152112.72600000002</v>
      </c>
      <c r="T24" s="8">
        <f>IF('20 1942 Euclid St'!C62="","",'20 1942 Euclid St'!C62)</f>
        <v>4.3773446330935259E-2</v>
      </c>
      <c r="U24" s="9">
        <f>IF('20 1942 Euclid St'!C63="","",'20 1942 Euclid St'!C63)</f>
        <v>12.16890084184281</v>
      </c>
      <c r="V24" s="8">
        <f>IF('20 1942 Euclid St'!B74="","",'20 1942 Euclid St'!B74)</f>
        <v>1.6642509657167466E-2</v>
      </c>
      <c r="W24" s="3"/>
      <c r="X24" s="3" t="s">
        <v>111</v>
      </c>
      <c r="Y24" s="3" t="s">
        <v>137</v>
      </c>
      <c r="Z24" s="3" t="s">
        <v>113</v>
      </c>
      <c r="AA24" s="10" t="s">
        <v>45</v>
      </c>
      <c r="AB24" s="10"/>
      <c r="AC24" s="4" t="s">
        <v>39</v>
      </c>
    </row>
    <row r="25" spans="1:29" x14ac:dyDescent="0.25">
      <c r="A25" s="3">
        <v>21</v>
      </c>
      <c r="B25" s="4" t="s">
        <v>138</v>
      </c>
      <c r="C25" s="3" t="s">
        <v>54</v>
      </c>
      <c r="D25" s="3" t="s">
        <v>68</v>
      </c>
      <c r="E25" s="3" t="s">
        <v>69</v>
      </c>
      <c r="F25" s="5">
        <f>'21 3575-3595 S Sepulveda Blvd'!B7</f>
        <v>42</v>
      </c>
      <c r="G25" s="3">
        <f>'21 3575-3595 S Sepulveda Blvd'!B11</f>
        <v>1948</v>
      </c>
      <c r="H25" s="5">
        <f>'21 3575-3595 S Sepulveda Blvd'!B8</f>
        <v>25050</v>
      </c>
      <c r="I25" s="5">
        <f>'21 3575-3595 S Sepulveda Blvd'!B9</f>
        <v>29185</v>
      </c>
      <c r="J25" s="6">
        <f>IF('21 3575-3595 S Sepulveda Blvd'!B22="","",'21 3575-3595 S Sepulveda Blvd'!B22)</f>
        <v>8995000</v>
      </c>
      <c r="K25" s="6">
        <f>IF('21 3575-3595 S Sepulveda Blvd'!B23="","",'21 3575-3595 S Sepulveda Blvd'!B23)</f>
        <v>214166.66666666666</v>
      </c>
      <c r="L25" s="7">
        <f>IF('21 3575-3595 S Sepulveda Blvd'!B24="","",'21 3575-3595 S Sepulveda Blvd'!B24)</f>
        <v>359.08183632734529</v>
      </c>
      <c r="M25" s="8">
        <f>IF('21 3575-3595 S Sepulveda Blvd'!B25="","",'21 3575-3595 S Sepulveda Blvd'!B25)</f>
        <v>5.0900000000000001E-2</v>
      </c>
      <c r="N25" s="9">
        <f>IF('21 3575-3595 S Sepulveda Blvd'!B26="","",'21 3575-3595 S Sepulveda Blvd'!B26)</f>
        <v>10.5</v>
      </c>
      <c r="O25" s="6">
        <f>IF('21 3575-3595 S Sepulveda Blvd'!B55="","",'21 3575-3595 S Sepulveda Blvd'!B55)</f>
        <v>8883.8373015873003</v>
      </c>
      <c r="P25" s="6">
        <f>IF('21 3575-3595 S Sepulveda Blvd'!D55="","",'21 3575-3595 S Sepulveda Blvd'!D55)</f>
        <v>8112.7733333333326</v>
      </c>
      <c r="Q25" s="3" t="str">
        <f>'21 3575-3595 S Sepulveda Blvd'!B57</f>
        <v>OM expenses reasonable</v>
      </c>
      <c r="R25" s="6">
        <f>IF('21 3575-3595 S Sepulveda Blvd'!B61="","",'21 3575-3595 S Sepulveda Blvd'!B61)</f>
        <v>457845.5</v>
      </c>
      <c r="S25" s="6">
        <f>IF('21 3575-3595 S Sepulveda Blvd'!C61="","",'21 3575-3595 S Sepulveda Blvd'!C61)</f>
        <v>490243.12</v>
      </c>
      <c r="T25" s="8">
        <f>IF('21 3575-3595 S Sepulveda Blvd'!C62="","",'21 3575-3595 S Sepulveda Blvd'!C62)</f>
        <v>5.450173652028905E-2</v>
      </c>
      <c r="U25" s="9">
        <f>IF('21 3575-3595 S Sepulveda Blvd'!C63="","",'21 3575-3595 S Sepulveda Blvd'!C63)</f>
        <v>10.499836578419012</v>
      </c>
      <c r="V25" s="8">
        <f>IF('21 3575-3595 S Sepulveda Blvd'!B74="","",'21 3575-3595 S Sepulveda Blvd'!B74)</f>
        <v>2.6593772707723243E-2</v>
      </c>
      <c r="W25" s="3" t="s">
        <v>139</v>
      </c>
      <c r="X25" s="3" t="s">
        <v>140</v>
      </c>
      <c r="Y25" s="3" t="s">
        <v>141</v>
      </c>
      <c r="Z25" s="3" t="s">
        <v>78</v>
      </c>
      <c r="AA25" s="10" t="s">
        <v>45</v>
      </c>
      <c r="AB25" s="10" t="s">
        <v>142</v>
      </c>
      <c r="AC25" s="4" t="s">
        <v>39</v>
      </c>
    </row>
    <row r="26" spans="1:29" x14ac:dyDescent="0.25">
      <c r="A26" s="3">
        <v>22</v>
      </c>
      <c r="B26" s="4" t="s">
        <v>143</v>
      </c>
      <c r="C26" s="3" t="s">
        <v>32</v>
      </c>
      <c r="D26" s="3" t="s">
        <v>33</v>
      </c>
      <c r="E26" s="3" t="s">
        <v>32</v>
      </c>
      <c r="F26" s="5">
        <f>'22 222-228 Idaho Ave'!B7</f>
        <v>20</v>
      </c>
      <c r="G26" s="3">
        <f>'22 222-228 Idaho Ave'!B11</f>
        <v>1954</v>
      </c>
      <c r="H26" s="5">
        <f>'22 222-228 Idaho Ave'!B8</f>
        <v>15006</v>
      </c>
      <c r="I26" s="5">
        <f>'22 222-228 Idaho Ave'!B9</f>
        <v>14810</v>
      </c>
      <c r="J26" s="6">
        <f>IF('22 222-228 Idaho Ave'!B22="","",'22 222-228 Idaho Ave'!B22)</f>
        <v>7795000</v>
      </c>
      <c r="K26" s="6">
        <f>IF('22 222-228 Idaho Ave'!B23="","",'22 222-228 Idaho Ave'!B23)</f>
        <v>389750</v>
      </c>
      <c r="L26" s="7">
        <f>IF('22 222-228 Idaho Ave'!B24="","",'22 222-228 Idaho Ave'!B24)</f>
        <v>519.45888311342128</v>
      </c>
      <c r="M26" s="8">
        <f>IF('22 222-228 Idaho Ave'!B25="","",'22 222-228 Idaho Ave'!B25)</f>
        <v>5.0700000000000002E-2</v>
      </c>
      <c r="N26" s="9">
        <f>IF('22 222-228 Idaho Ave'!B26="","",'22 222-228 Idaho Ave'!B26)</f>
        <v>12.34</v>
      </c>
      <c r="O26" s="6">
        <f>IF('22 222-228 Idaho Ave'!B54="","",'22 222-228 Idaho Ave'!B54)</f>
        <v>10887.15</v>
      </c>
      <c r="P26" s="6">
        <f>IF('22 222-228 Idaho Ave'!D54="","",'22 222-228 Idaho Ave'!D54)</f>
        <v>12090.3454</v>
      </c>
      <c r="Q26" s="3" t="str">
        <f>'22 222-228 Idaho Ave'!B56</f>
        <v>OM EXPENSES LIGHT</v>
      </c>
      <c r="R26" s="6">
        <f>IF('22 222-228 Idaho Ave'!B60="","",'22 222-228 Idaho Ave'!B60)</f>
        <v>395732.04000000004</v>
      </c>
      <c r="S26" s="6">
        <f>IF('22 222-228 Idaho Ave'!C60="","",'22 222-228 Idaho Ave'!C60)</f>
        <v>371761.25200000004</v>
      </c>
      <c r="T26" s="8">
        <f>IF('22 222-228 Idaho Ave'!C61="","",'22 222-228 Idaho Ave'!C61)</f>
        <v>4.7692270942912125E-2</v>
      </c>
      <c r="U26" s="9">
        <f>IF('22 222-228 Idaho Ave'!C62="","",'22 222-228 Idaho Ave'!C62)</f>
        <v>12.87731609970132</v>
      </c>
      <c r="V26" s="8">
        <f>IF('22 222-228 Idaho Ave'!B73="","",'22 222-228 Idaho Ave'!B73)</f>
        <v>1.9723328098345184E-2</v>
      </c>
      <c r="W26" s="3"/>
      <c r="X26" s="3" t="s">
        <v>144</v>
      </c>
      <c r="Y26" s="3" t="s">
        <v>108</v>
      </c>
      <c r="Z26" s="3" t="s">
        <v>51</v>
      </c>
      <c r="AA26" s="10" t="s">
        <v>545</v>
      </c>
      <c r="AB26" s="10" t="s">
        <v>145</v>
      </c>
      <c r="AC26" s="4" t="s">
        <v>39</v>
      </c>
    </row>
    <row r="27" spans="1:29" x14ac:dyDescent="0.25">
      <c r="A27" s="3">
        <v>23</v>
      </c>
      <c r="B27" s="4" t="s">
        <v>146</v>
      </c>
      <c r="C27" s="3" t="s">
        <v>95</v>
      </c>
      <c r="D27" s="3" t="s">
        <v>147</v>
      </c>
      <c r="E27" s="3" t="s">
        <v>95</v>
      </c>
      <c r="F27" s="5">
        <f>'23 8468 Fountain Ave'!B7</f>
        <v>13</v>
      </c>
      <c r="G27" s="3">
        <f>'23 8468 Fountain Ave'!B11</f>
        <v>1939</v>
      </c>
      <c r="H27" s="5">
        <f>'23 8468 Fountain Ave'!B8</f>
        <v>13131</v>
      </c>
      <c r="I27" s="5">
        <f>'23 8468 Fountain Ave'!B9</f>
        <v>11761</v>
      </c>
      <c r="J27" s="6">
        <f>IF('23 8468 Fountain Ave'!B22="","",'23 8468 Fountain Ave'!B22)</f>
        <v>5995000</v>
      </c>
      <c r="K27" s="6">
        <f>IF('23 8468 Fountain Ave'!B23="","",'23 8468 Fountain Ave'!B23)</f>
        <v>461153.84615384613</v>
      </c>
      <c r="L27" s="7">
        <f>IF('23 8468 Fountain Ave'!B24="","",'23 8468 Fountain Ave'!B24)</f>
        <v>456.55319473002817</v>
      </c>
      <c r="M27" s="8">
        <f>IF('23 8468 Fountain Ave'!B25="","",'23 8468 Fountain Ave'!B25)</f>
        <v>4.8800000000000003E-2</v>
      </c>
      <c r="N27" s="9">
        <f>IF('23 8468 Fountain Ave'!B26="","",'23 8468 Fountain Ave'!B26)</f>
        <v>15.13</v>
      </c>
      <c r="O27" s="6">
        <f>IF('23 8468 Fountain Ave'!B55="","",'23 8468 Fountain Ave'!B55)</f>
        <v>7060.7439117392823</v>
      </c>
      <c r="P27" s="6">
        <f>IF('23 8468 Fountain Ave'!D55="","",'23 8468 Fountain Ave'!D55)</f>
        <v>11972.024000000001</v>
      </c>
      <c r="Q27" s="3" t="str">
        <f>'23 8468 Fountain Ave'!B57</f>
        <v>OM EXPENSES LIGHT</v>
      </c>
      <c r="R27" s="6">
        <f>IF('23 8468 Fountain Ave'!B61="","",'23 8468 Fountain Ave'!B61)</f>
        <v>292556</v>
      </c>
      <c r="S27" s="6">
        <f>IF('23 8468 Fountain Ave'!C61="","",'23 8468 Fountain Ave'!C61)</f>
        <v>228669.92799999999</v>
      </c>
      <c r="T27" s="8">
        <f>IF('23 8468 Fountain Ave'!C62="","",'23 8468 Fountain Ave'!C62)</f>
        <v>3.8143440867389487E-2</v>
      </c>
      <c r="U27" s="9">
        <f>IF('23 8468 Fountain Ave'!C63="","",'23 8468 Fountain Ave'!C63)</f>
        <v>15.131552378644697</v>
      </c>
      <c r="V27" s="8">
        <f>IF('23 8468 Fountain Ave'!B74="","",'23 8468 Fountain Ave'!B74)</f>
        <v>1.299600416434451E-2</v>
      </c>
      <c r="W27" s="3" t="s">
        <v>63</v>
      </c>
      <c r="X27" s="3" t="s">
        <v>148</v>
      </c>
      <c r="Y27" s="3" t="s">
        <v>149</v>
      </c>
      <c r="Z27" s="3" t="s">
        <v>51</v>
      </c>
      <c r="AA27" s="10" t="s">
        <v>45</v>
      </c>
      <c r="AB27" s="10"/>
      <c r="AC27" s="4" t="s">
        <v>39</v>
      </c>
    </row>
    <row r="28" spans="1:29" x14ac:dyDescent="0.25">
      <c r="A28" s="3">
        <v>24</v>
      </c>
      <c r="B28" s="4" t="s">
        <v>150</v>
      </c>
      <c r="C28" s="3" t="s">
        <v>32</v>
      </c>
      <c r="D28" s="3" t="s">
        <v>151</v>
      </c>
      <c r="E28" s="3" t="s">
        <v>32</v>
      </c>
      <c r="F28" s="5">
        <f>'24 1217 9th St'!B7</f>
        <v>13</v>
      </c>
      <c r="G28" s="3">
        <f>'24 1217 9th St'!B11</f>
        <v>0</v>
      </c>
      <c r="H28" s="5">
        <f>'24 1217 9th St'!B8</f>
        <v>4770</v>
      </c>
      <c r="I28" s="5">
        <f>'24 1217 9th St'!B9</f>
        <v>7405</v>
      </c>
      <c r="J28" s="6">
        <f>IF('24 1217 9th St'!B22="","",'24 1217 9th St'!B22)</f>
        <v>5100000</v>
      </c>
      <c r="K28" s="6">
        <f>IF('24 1217 9th St'!B23="","",'24 1217 9th St'!B23)</f>
        <v>392307.69230769231</v>
      </c>
      <c r="L28" s="7">
        <f>IF('24 1217 9th St'!B24="","",'24 1217 9th St'!B24)</f>
        <v>1069.182389937107</v>
      </c>
      <c r="M28" s="8">
        <f>IF('24 1217 9th St'!B25="","",'24 1217 9th St'!B25)</f>
        <v>4.87E-2</v>
      </c>
      <c r="N28" s="9">
        <f>IF('24 1217 9th St'!B26="","",'24 1217 9th St'!B26)</f>
        <v>14.2</v>
      </c>
      <c r="O28" s="6">
        <f>IF('24 1217 9th St'!B52="","",'24 1217 9th St'!B52)</f>
        <v>8049.3076923076924</v>
      </c>
      <c r="P28" s="6">
        <f>IF('24 1217 9th St'!D52="","",'24 1217 9th St'!D52)</f>
        <v>10537.402307692306</v>
      </c>
      <c r="Q28" s="3" t="str">
        <f>'24 1217 9th St'!B54</f>
        <v>OM EXPENSES LIGHT</v>
      </c>
      <c r="R28" s="6">
        <f>IF('24 1217 9th St'!B58="","",'24 1217 9th St'!B58)</f>
        <v>243723.08000000002</v>
      </c>
      <c r="S28" s="6">
        <f>IF('24 1217 9th St'!C58="","",'24 1217 9th St'!C58)</f>
        <v>229338.37</v>
      </c>
      <c r="T28" s="8">
        <f>IF('24 1217 9th St'!C59="","",'24 1217 9th St'!C59)</f>
        <v>4.4968307843137253E-2</v>
      </c>
      <c r="U28" s="9">
        <f>IF('24 1217 9th St'!C60="","",'24 1217 9th St'!C60)</f>
        <v>13.593475131936671</v>
      </c>
      <c r="V28" s="8">
        <f>IF('24 1217 9th St'!B71="","",'24 1217 9th St'!B71)</f>
        <v>1.7527866106956374E-2</v>
      </c>
      <c r="W28" s="3" t="s">
        <v>152</v>
      </c>
      <c r="X28" s="3" t="s">
        <v>153</v>
      </c>
      <c r="Y28" s="3" t="s">
        <v>154</v>
      </c>
      <c r="Z28" s="3" t="s">
        <v>113</v>
      </c>
      <c r="AA28" s="10" t="s">
        <v>38</v>
      </c>
      <c r="AB28" s="10" t="s">
        <v>155</v>
      </c>
      <c r="AC28" s="4" t="s">
        <v>39</v>
      </c>
    </row>
    <row r="29" spans="1:29" x14ac:dyDescent="0.25">
      <c r="A29" s="3">
        <v>25</v>
      </c>
      <c r="B29" s="4" t="s">
        <v>156</v>
      </c>
      <c r="C29" s="3" t="s">
        <v>54</v>
      </c>
      <c r="D29" s="3" t="s">
        <v>55</v>
      </c>
      <c r="E29" s="3" t="s">
        <v>56</v>
      </c>
      <c r="F29" s="5">
        <f>'25 1256 S Westgate Ave'!B7</f>
        <v>10</v>
      </c>
      <c r="G29" s="3">
        <f>'25 1256 S Westgate Ave'!B11</f>
        <v>1960</v>
      </c>
      <c r="H29" s="5">
        <f>'25 1256 S Westgate Ave'!B8</f>
        <v>7391</v>
      </c>
      <c r="I29" s="5">
        <f>'25 1256 S Westgate Ave'!B9</f>
        <v>7405</v>
      </c>
      <c r="J29" s="6">
        <f>IF('25 1256 S Westgate Ave'!B22="","",'25 1256 S Westgate Ave'!B22)</f>
        <v>2695000</v>
      </c>
      <c r="K29" s="6">
        <f>IF('25 1256 S Westgate Ave'!B23="","",'25 1256 S Westgate Ave'!B23)</f>
        <v>269500</v>
      </c>
      <c r="L29" s="7">
        <f>IF('25 1256 S Westgate Ave'!B24="","",'25 1256 S Westgate Ave'!B24)</f>
        <v>364.6326613448789</v>
      </c>
      <c r="M29" s="8">
        <f>IF('25 1256 S Westgate Ave'!B25="","",'25 1256 S Westgate Ave'!B25)</f>
        <v>4.8499999999999988E-2</v>
      </c>
      <c r="N29" s="9">
        <f>IF('25 1256 S Westgate Ave'!B26="","",'25 1256 S Westgate Ave'!B26)</f>
        <v>12.89</v>
      </c>
      <c r="O29" s="6">
        <f>IF('25 1256 S Westgate Ave'!B54="","",'25 1256 S Westgate Ave'!B54)</f>
        <v>7209.6999612102427</v>
      </c>
      <c r="P29" s="6">
        <f>IF('25 1256 S Westgate Ave'!D54="","",'25 1256 S Westgate Ave'!D54)</f>
        <v>8972.0432000000001</v>
      </c>
      <c r="Q29" s="3" t="str">
        <f>'25 1256 S Westgate Ave'!B56</f>
        <v>OM EXPENSES LIGHT</v>
      </c>
      <c r="R29" s="6">
        <f>IF('25 1256 S Westgate Ave'!B60="","",'25 1256 S Westgate Ave'!B60)</f>
        <v>130707.49999999997</v>
      </c>
      <c r="S29" s="6">
        <f>IF('25 1256 S Westgate Ave'!C60="","",'25 1256 S Westgate Ave'!C60)</f>
        <v>113118.20800000001</v>
      </c>
      <c r="T29" s="8">
        <f>IF('25 1256 S Westgate Ave'!C61="","",'25 1256 S Westgate Ave'!C61)</f>
        <v>4.1973361038961043E-2</v>
      </c>
      <c r="U29" s="9">
        <f>IF('25 1256 S Westgate Ave'!C62="","",'25 1256 S Westgate Ave'!C62)</f>
        <v>12.887830444929033</v>
      </c>
      <c r="V29" s="8">
        <f>IF('25 1256 S Westgate Ave'!B73="","",'25 1256 S Westgate Ave'!B73)</f>
        <v>1.5387985078367533E-2</v>
      </c>
      <c r="W29" s="3" t="s">
        <v>48</v>
      </c>
      <c r="X29" s="3" t="s">
        <v>81</v>
      </c>
      <c r="Y29" s="3" t="s">
        <v>157</v>
      </c>
      <c r="Z29" s="3" t="s">
        <v>158</v>
      </c>
      <c r="AA29" s="10" t="s">
        <v>45</v>
      </c>
      <c r="AB29" s="10" t="s">
        <v>84</v>
      </c>
      <c r="AC29" s="4" t="s">
        <v>39</v>
      </c>
    </row>
    <row r="30" spans="1:29" x14ac:dyDescent="0.25">
      <c r="A30" s="3">
        <v>26</v>
      </c>
      <c r="B30" s="4" t="s">
        <v>159</v>
      </c>
      <c r="C30" s="3" t="s">
        <v>54</v>
      </c>
      <c r="D30" s="3" t="s">
        <v>61</v>
      </c>
      <c r="E30" s="3" t="s">
        <v>62</v>
      </c>
      <c r="F30" s="5">
        <f>'26 3410 Club Dr'!B7</f>
        <v>17</v>
      </c>
      <c r="G30" s="3">
        <f>'26 3410 Club Dr'!B11</f>
        <v>1957</v>
      </c>
      <c r="H30" s="5">
        <f>'26 3410 Club Dr'!B8</f>
        <v>13506</v>
      </c>
      <c r="I30" s="5">
        <f>'26 3410 Club Dr'!B9</f>
        <v>14375</v>
      </c>
      <c r="J30" s="6">
        <f>IF('26 3410 Club Dr'!B22="","",'26 3410 Club Dr'!B22)</f>
        <v>6695000</v>
      </c>
      <c r="K30" s="6">
        <f>IF('26 3410 Club Dr'!B23="","",'26 3410 Club Dr'!B23)</f>
        <v>393823.5294117647</v>
      </c>
      <c r="L30" s="7">
        <f>IF('26 3410 Club Dr'!B24="","",'26 3410 Club Dr'!B24)</f>
        <v>495.70561232045014</v>
      </c>
      <c r="M30" s="8">
        <f>IF('26 3410 Club Dr'!B25="","",'26 3410 Club Dr'!B25)</f>
        <v>4.8000000000000001E-2</v>
      </c>
      <c r="N30" s="9">
        <f>IF('26 3410 Club Dr'!B26="","",'26 3410 Club Dr'!B26)</f>
        <v>12.8</v>
      </c>
      <c r="O30" s="6">
        <f>IF('26 3410 Club Dr'!B54="","",'26 3410 Club Dr'!B54)</f>
        <v>10940.909926470587</v>
      </c>
      <c r="P30" s="6">
        <f>IF('26 3410 Club Dr'!D54="","",'26 3410 Club Dr'!D54)</f>
        <v>11029.317176470588</v>
      </c>
      <c r="Q30" s="3" t="str">
        <f>'26 3410 Club Dr'!B56</f>
        <v>OM expenses reasonable</v>
      </c>
      <c r="R30" s="6">
        <f>IF('26 3410 Club Dr'!B60="","",'26 3410 Club Dr'!B60)</f>
        <v>321360</v>
      </c>
      <c r="S30" s="6">
        <f>IF('26 3410 Club Dr'!C60="","",'26 3410 Club Dr'!C60)</f>
        <v>309599.44800000003</v>
      </c>
      <c r="T30" s="8">
        <f>IF('26 3410 Club Dr'!C61="","",'26 3410 Club Dr'!C61)</f>
        <v>4.6243382823002242E-2</v>
      </c>
      <c r="U30" s="9">
        <f>IF('26 3410 Club Dr'!C62="","",'26 3410 Club Dr'!C62)</f>
        <v>13.064128381648167</v>
      </c>
      <c r="V30" s="8">
        <f>IF('26 3410 Club Dr'!B73="","",'26 3410 Club Dr'!B73)</f>
        <v>1.8523262626419644E-2</v>
      </c>
      <c r="W30" s="3" t="s">
        <v>34</v>
      </c>
      <c r="X30" s="3" t="s">
        <v>160</v>
      </c>
      <c r="Y30" s="3" t="s">
        <v>161</v>
      </c>
      <c r="Z30" s="3" t="s">
        <v>161</v>
      </c>
      <c r="AA30" s="10" t="s">
        <v>38</v>
      </c>
      <c r="AB30" s="10" t="s">
        <v>162</v>
      </c>
      <c r="AC30" s="4" t="s">
        <v>39</v>
      </c>
    </row>
    <row r="31" spans="1:29" x14ac:dyDescent="0.25">
      <c r="A31" s="3">
        <v>27</v>
      </c>
      <c r="B31" s="4" t="s">
        <v>163</v>
      </c>
      <c r="C31" s="3" t="s">
        <v>32</v>
      </c>
      <c r="D31" s="3" t="s">
        <v>33</v>
      </c>
      <c r="E31" s="3" t="s">
        <v>32</v>
      </c>
      <c r="F31" s="5">
        <f>'27 1050 12th St'!B7</f>
        <v>10</v>
      </c>
      <c r="G31" s="3">
        <f>'27 1050 12th St'!B11</f>
        <v>1957</v>
      </c>
      <c r="H31" s="5">
        <f>'27 1050 12th St'!B8</f>
        <v>7068</v>
      </c>
      <c r="I31" s="5">
        <f>'27 1050 12th St'!B9</f>
        <v>7841</v>
      </c>
      <c r="J31" s="6">
        <f>IF('27 1050 12th St'!B22="","",'27 1050 12th St'!B22)</f>
        <v>3800000</v>
      </c>
      <c r="K31" s="6">
        <f>IF('27 1050 12th St'!B23="","",'27 1050 12th St'!B23)</f>
        <v>380000</v>
      </c>
      <c r="L31" s="7">
        <f>IF('27 1050 12th St'!B24="","",'27 1050 12th St'!B24)</f>
        <v>537.63440860215053</v>
      </c>
      <c r="M31" s="8">
        <f>IF('27 1050 12th St'!B25="","",'27 1050 12th St'!B25)</f>
        <v>4.3899999999999988E-2</v>
      </c>
      <c r="N31" s="9">
        <f>IF('27 1050 12th St'!B26="","",'27 1050 12th St'!B26)</f>
        <v>16.41</v>
      </c>
      <c r="O31" s="6">
        <f>IF('27 1050 12th St'!B53="","",'27 1050 12th St'!B53)</f>
        <v>5779.913467397937</v>
      </c>
      <c r="P31" s="6">
        <f>IF('27 1050 12th St'!D53="","",'27 1050 12th St'!D53)</f>
        <v>10439.338800000001</v>
      </c>
      <c r="Q31" s="3" t="str">
        <f>'27 1050 12th St'!B55</f>
        <v>OM EXPENSES LIGHT</v>
      </c>
      <c r="R31" s="6">
        <f>IF('27 1050 12th St'!B59="","",'27 1050 12th St'!B59)</f>
        <v>166819.99999999994</v>
      </c>
      <c r="S31" s="6">
        <f>IF('27 1050 12th St'!C59="","",'27 1050 12th St'!C59)</f>
        <v>138114.372</v>
      </c>
      <c r="T31" s="8">
        <f>IF('27 1050 12th St'!C60="","",'27 1050 12th St'!C60)</f>
        <v>3.6345887368421051E-2</v>
      </c>
      <c r="U31" s="9">
        <f>IF('27 1050 12th St'!C61="","",'27 1050 12th St'!C61)</f>
        <v>15.199513615564301</v>
      </c>
      <c r="V31" s="8">
        <f>IF('27 1050 12th St'!B72="","",'27 1050 12th St'!B72)</f>
        <v>1.1986133755575787E-2</v>
      </c>
      <c r="W31" s="3" t="s">
        <v>34</v>
      </c>
      <c r="X31" s="3" t="s">
        <v>164</v>
      </c>
      <c r="Y31" s="3" t="s">
        <v>165</v>
      </c>
      <c r="Z31" s="3" t="s">
        <v>166</v>
      </c>
      <c r="AA31" s="10" t="s">
        <v>38</v>
      </c>
      <c r="AB31" s="10"/>
      <c r="AC31" s="4" t="s">
        <v>39</v>
      </c>
    </row>
    <row r="32" spans="1:29" x14ac:dyDescent="0.25">
      <c r="A32" s="3">
        <v>28</v>
      </c>
      <c r="B32" s="4" t="s">
        <v>167</v>
      </c>
      <c r="C32" s="3" t="s">
        <v>32</v>
      </c>
      <c r="D32" s="3" t="s">
        <v>136</v>
      </c>
      <c r="E32" s="3" t="s">
        <v>32</v>
      </c>
      <c r="F32" s="5">
        <f>'28 1307 15th St'!B7</f>
        <v>11</v>
      </c>
      <c r="G32" s="3">
        <f>'28 1307 15th St'!B11</f>
        <v>1958</v>
      </c>
      <c r="H32" s="5">
        <f>'28 1307 15th St'!B8</f>
        <v>8398</v>
      </c>
      <c r="I32" s="5">
        <f>'28 1307 15th St'!B9</f>
        <v>7405</v>
      </c>
      <c r="J32" s="6">
        <f>IF('28 1307 15th St'!B22="","",'28 1307 15th St'!B22)</f>
        <v>3850000</v>
      </c>
      <c r="K32" s="6">
        <f>IF('28 1307 15th St'!B23="","",'28 1307 15th St'!B23)</f>
        <v>350000</v>
      </c>
      <c r="L32" s="7">
        <f>IF('28 1307 15th St'!B24="","",'28 1307 15th St'!B24)</f>
        <v>458.44248630626339</v>
      </c>
      <c r="M32" s="8">
        <f>IF('28 1307 15th St'!B25="","",'28 1307 15th St'!B25)</f>
        <v>4.3400000000000001E-2</v>
      </c>
      <c r="N32" s="9">
        <f>IF('28 1307 15th St'!B26="","",'28 1307 15th St'!B26)</f>
        <v>14.29</v>
      </c>
      <c r="O32" s="6">
        <f>IF('28 1307 15th St'!B54="","",'28 1307 15th St'!B54)</f>
        <v>8567.872638208537</v>
      </c>
      <c r="P32" s="6">
        <f>IF('28 1307 15th St'!D54="","",'28 1307 15th St'!D54)</f>
        <v>10126.422363636364</v>
      </c>
      <c r="Q32" s="3" t="str">
        <f>'28 1307 15th St'!B56</f>
        <v>OM EXPENSES LIGHT</v>
      </c>
      <c r="R32" s="6">
        <f>IF('28 1307 15th St'!B60="","",'28 1307 15th St'!B60)</f>
        <v>167090</v>
      </c>
      <c r="S32" s="6">
        <f>IF('28 1307 15th St'!C60="","",'28 1307 15th St'!C60)</f>
        <v>149962.274</v>
      </c>
      <c r="T32" s="8">
        <f>IF('28 1307 15th St'!C61="","",'28 1307 15th St'!C61)</f>
        <v>3.8951239999999998E-2</v>
      </c>
      <c r="U32" s="9">
        <f>IF('28 1307 15th St'!C62="","",'28 1307 15th St'!C62)</f>
        <v>14.28910761739337</v>
      </c>
      <c r="V32" s="8">
        <f>IF('28 1307 15th St'!B73="","",'28 1307 15th St'!B73)</f>
        <v>1.3471967045793672E-2</v>
      </c>
      <c r="W32" s="3" t="s">
        <v>168</v>
      </c>
      <c r="X32" s="3" t="s">
        <v>169</v>
      </c>
      <c r="Y32" s="3" t="s">
        <v>170</v>
      </c>
      <c r="Z32" s="3" t="s">
        <v>65</v>
      </c>
      <c r="AA32" s="10" t="s">
        <v>45</v>
      </c>
      <c r="AB32" s="10"/>
      <c r="AC32" s="4" t="s">
        <v>39</v>
      </c>
    </row>
    <row r="33" spans="1:29" x14ac:dyDescent="0.25">
      <c r="A33" s="3">
        <v>29</v>
      </c>
      <c r="B33" s="4" t="s">
        <v>171</v>
      </c>
      <c r="C33" s="3" t="s">
        <v>54</v>
      </c>
      <c r="D33" s="3" t="s">
        <v>68</v>
      </c>
      <c r="E33" s="3" t="s">
        <v>69</v>
      </c>
      <c r="F33" s="5">
        <f>'29 3750 Midvale Ave'!B7</f>
        <v>16</v>
      </c>
      <c r="G33" s="3">
        <f>'29 3750 Midvale Ave'!B11</f>
        <v>1961</v>
      </c>
      <c r="H33" s="5">
        <f>'29 3750 Midvale Ave'!B8</f>
        <v>13210</v>
      </c>
      <c r="I33" s="5">
        <f>'29 3750 Midvale Ave'!B9</f>
        <v>16117</v>
      </c>
      <c r="J33" s="6">
        <f>IF('29 3750 Midvale Ave'!B22="","",'29 3750 Midvale Ave'!B22)</f>
        <v>4200000</v>
      </c>
      <c r="K33" s="6">
        <f>IF('29 3750 Midvale Ave'!B23="","",'29 3750 Midvale Ave'!B23)</f>
        <v>262500</v>
      </c>
      <c r="L33" s="7">
        <f>IF('29 3750 Midvale Ave'!B24="","",'29 3750 Midvale Ave'!B24)</f>
        <v>317.94095382286145</v>
      </c>
      <c r="M33" s="8">
        <f>IF('29 3750 Midvale Ave'!B25="","",'29 3750 Midvale Ave'!B25)</f>
        <v>4.2599999999999999E-2</v>
      </c>
      <c r="N33" s="9">
        <f>IF('29 3750 Midvale Ave'!B26="","",'29 3750 Midvale Ave'!B26)</f>
        <v>12.81</v>
      </c>
      <c r="O33" s="6">
        <f>IF('29 3750 Midvale Ave'!B53="","",'29 3750 Midvale Ave'!B53)</f>
        <v>8694.5491803278674</v>
      </c>
      <c r="P33" s="6">
        <f>IF('29 3750 Midvale Ave'!D53="","",'29 3750 Midvale Ave'!D53)</f>
        <v>8980.9040000000005</v>
      </c>
      <c r="Q33" s="3" t="str">
        <f>'29 3750 Midvale Ave'!B55</f>
        <v>OM expenses reasonable</v>
      </c>
      <c r="R33" s="6">
        <f>IF('29 3750 Midvale Ave'!B59="","",'29 3750 Midvale Ave'!B59)</f>
        <v>178920</v>
      </c>
      <c r="S33" s="6">
        <f>IF('29 3750 Midvale Ave'!C59="","",'29 3750 Midvale Ave'!C59)</f>
        <v>183994.81600000002</v>
      </c>
      <c r="T33" s="8">
        <f>IF('29 3750 Midvale Ave'!C60="","",'29 3750 Midvale Ave'!C60)</f>
        <v>4.3808289523809531E-2</v>
      </c>
      <c r="U33" s="9">
        <f>IF('29 3750 Midvale Ave'!C61="","",'29 3750 Midvale Ave'!C61)</f>
        <v>12.432509235578289</v>
      </c>
      <c r="V33" s="8">
        <f>IF('29 3750 Midvale Ave'!B72="","",'29 3750 Midvale Ave'!B72)</f>
        <v>1.6667710535602502E-2</v>
      </c>
      <c r="W33" s="3"/>
      <c r="X33" s="3" t="s">
        <v>172</v>
      </c>
      <c r="Y33" s="3" t="s">
        <v>161</v>
      </c>
      <c r="Z33" s="3" t="s">
        <v>161</v>
      </c>
      <c r="AA33" s="10" t="s">
        <v>38</v>
      </c>
      <c r="AB33" s="10" t="s">
        <v>173</v>
      </c>
      <c r="AC33" s="4" t="s">
        <v>39</v>
      </c>
    </row>
    <row r="34" spans="1:29" x14ac:dyDescent="0.25">
      <c r="A34" s="3">
        <v>30</v>
      </c>
      <c r="B34" s="4" t="s">
        <v>174</v>
      </c>
      <c r="C34" s="3" t="s">
        <v>32</v>
      </c>
      <c r="D34" s="3" t="s">
        <v>33</v>
      </c>
      <c r="E34" s="3" t="s">
        <v>32</v>
      </c>
      <c r="F34" s="5">
        <f>'30 823 5th St'!B7</f>
        <v>10</v>
      </c>
      <c r="G34" s="3">
        <f>'30 823 5th St'!B11</f>
        <v>1958</v>
      </c>
      <c r="H34" s="5">
        <f>'30 823 5th St'!B8</f>
        <v>10523</v>
      </c>
      <c r="I34" s="5">
        <f>'30 823 5th St'!B9</f>
        <v>7405</v>
      </c>
      <c r="J34" s="6">
        <f>IF('30 823 5th St'!B22="","",'30 823 5th St'!B22)</f>
        <v>4800000</v>
      </c>
      <c r="K34" s="6">
        <f>IF('30 823 5th St'!B23="","",'30 823 5th St'!B23)</f>
        <v>480000</v>
      </c>
      <c r="L34" s="7">
        <f>IF('30 823 5th St'!B24="","",'30 823 5th St'!B24)</f>
        <v>456.14368526085718</v>
      </c>
      <c r="M34" s="8">
        <f>IF('30 823 5th St'!B25="","",'30 823 5th St'!B25)</f>
        <v>0.04</v>
      </c>
      <c r="N34" s="9">
        <f>IF('30 823 5th St'!B26="","",'30 823 5th St'!B26)</f>
        <v>16</v>
      </c>
      <c r="O34" s="6">
        <f>IF('30 823 5th St'!B55="","",'30 823 5th St'!B55)</f>
        <v>10635</v>
      </c>
      <c r="P34" s="6">
        <f>IF('30 823 5th St'!D55="","",'30 823 5th St'!D55)</f>
        <v>12177.3</v>
      </c>
      <c r="Q34" s="3" t="str">
        <f>'30 823 5th St'!B57</f>
        <v>OM EXPENSES LIGHT</v>
      </c>
      <c r="R34" s="6">
        <f>IF('30 823 5th St'!B61="","",'30 823 5th St'!B61)</f>
        <v>190679.52000000002</v>
      </c>
      <c r="S34" s="6">
        <f>IF('30 823 5th St'!C61="","",'30 823 5th St'!C61)</f>
        <v>169227</v>
      </c>
      <c r="T34" s="8">
        <f>IF('30 823 5th St'!C62="","",'30 823 5th St'!C62)</f>
        <v>3.5255624999999999E-2</v>
      </c>
      <c r="U34" s="9">
        <f>IF('30 823 5th St'!C63="","",'30 823 5th St'!C63)</f>
        <v>16</v>
      </c>
      <c r="V34" s="8">
        <f>IF('30 823 5th St'!B74="","",'30 823 5th St'!B74)</f>
        <v>1.1404597986164649E-2</v>
      </c>
      <c r="W34" s="3" t="s">
        <v>34</v>
      </c>
      <c r="X34" s="3" t="s">
        <v>169</v>
      </c>
      <c r="Y34" s="3" t="s">
        <v>175</v>
      </c>
      <c r="Z34" s="3" t="s">
        <v>65</v>
      </c>
      <c r="AA34" s="10" t="s">
        <v>45</v>
      </c>
      <c r="AB34" s="10"/>
      <c r="AC34" s="4" t="s">
        <v>39</v>
      </c>
    </row>
    <row r="35" spans="1:29" x14ac:dyDescent="0.25">
      <c r="A35" s="3">
        <v>31</v>
      </c>
      <c r="B35" s="4" t="s">
        <v>176</v>
      </c>
      <c r="C35" s="3" t="s">
        <v>95</v>
      </c>
      <c r="D35" s="3" t="s">
        <v>96</v>
      </c>
      <c r="E35" s="3" t="s">
        <v>95</v>
      </c>
      <c r="F35" s="5">
        <f>'31 1269 Havenhurst Dr'!B7</f>
        <v>10</v>
      </c>
      <c r="G35" s="3">
        <f>'31 1269 Havenhurst Dr'!B11</f>
        <v>1939</v>
      </c>
      <c r="H35" s="5">
        <f>'31 1269 Havenhurst Dr'!B8</f>
        <v>10171</v>
      </c>
      <c r="I35" s="5">
        <f>'31 1269 Havenhurst Dr'!B9</f>
        <v>15246</v>
      </c>
      <c r="J35" s="6">
        <f>IF('31 1269 Havenhurst Dr'!B22="","",'31 1269 Havenhurst Dr'!B22)</f>
        <v>4995000</v>
      </c>
      <c r="K35" s="6">
        <f>IF('31 1269 Havenhurst Dr'!B23="","",'31 1269 Havenhurst Dr'!B23)</f>
        <v>499500</v>
      </c>
      <c r="L35" s="7">
        <f>IF('31 1269 Havenhurst Dr'!B24="","",'31 1269 Havenhurst Dr'!B24)</f>
        <v>491.10215318061154</v>
      </c>
      <c r="M35" s="8">
        <f>IF('31 1269 Havenhurst Dr'!B25="","",'31 1269 Havenhurst Dr'!B25)</f>
        <v>3.7999999999999999E-2</v>
      </c>
      <c r="N35" s="9">
        <f>IF('31 1269 Havenhurst Dr'!B26="","",'31 1269 Havenhurst Dr'!B26)</f>
        <v>16.27</v>
      </c>
      <c r="O35" s="6">
        <f>IF('31 1269 Havenhurst Dr'!B53="","",'31 1269 Havenhurst Dr'!B53)</f>
        <v>10798.655808236024</v>
      </c>
      <c r="P35" s="6">
        <f>IF('31 1269 Havenhurst Dr'!D53="","",'31 1269 Havenhurst Dr'!D53)</f>
        <v>12444.5016</v>
      </c>
      <c r="Q35" s="3" t="str">
        <f>'31 1269 Havenhurst Dr'!B55</f>
        <v>OM EXPENSES LIGHT</v>
      </c>
      <c r="R35" s="6">
        <f>IF('31 1269 Havenhurst Dr'!B59="","",'31 1269 Havenhurst Dr'!B59)</f>
        <v>189810</v>
      </c>
      <c r="S35" s="6">
        <f>IF('31 1269 Havenhurst Dr'!C59="","",'31 1269 Havenhurst Dr'!C59)</f>
        <v>172235.304</v>
      </c>
      <c r="T35" s="8">
        <f>IF('31 1269 Havenhurst Dr'!C60="","",'31 1269 Havenhurst Dr'!C60)</f>
        <v>3.4481542342342346E-2</v>
      </c>
      <c r="U35" s="9">
        <f>IF('31 1269 Havenhurst Dr'!C61="","",'31 1269 Havenhurst Dr'!C61)</f>
        <v>16.331214689265536</v>
      </c>
      <c r="V35" s="8">
        <f>IF('31 1269 Havenhurst Dr'!B72="","",'31 1269 Havenhurst Dr'!B72)</f>
        <v>1.100500978636364E-2</v>
      </c>
      <c r="W35" s="3" t="s">
        <v>34</v>
      </c>
      <c r="X35" s="3" t="s">
        <v>177</v>
      </c>
      <c r="Y35" s="3" t="s">
        <v>178</v>
      </c>
      <c r="Z35" s="3" t="s">
        <v>178</v>
      </c>
      <c r="AA35" s="10" t="s">
        <v>38</v>
      </c>
      <c r="AB35" s="10"/>
      <c r="AC35" s="4" t="s">
        <v>39</v>
      </c>
    </row>
    <row r="36" spans="1:29" x14ac:dyDescent="0.25">
      <c r="A36" s="3">
        <v>32</v>
      </c>
      <c r="B36" s="4" t="s">
        <v>179</v>
      </c>
      <c r="C36" s="3" t="s">
        <v>54</v>
      </c>
      <c r="D36" s="3" t="s">
        <v>180</v>
      </c>
      <c r="E36" s="3" t="s">
        <v>181</v>
      </c>
      <c r="F36" s="5">
        <f>'32 1235-1241 S Beverly Glen Blv'!B7</f>
        <v>14</v>
      </c>
      <c r="G36" s="3">
        <f>'32 1235-1241 S Beverly Glen Blv'!B11</f>
        <v>1941</v>
      </c>
      <c r="H36" s="5">
        <f>'32 1235-1241 S Beverly Glen Blv'!B8</f>
        <v>11295</v>
      </c>
      <c r="I36" s="5">
        <f>'32 1235-1241 S Beverly Glen Blv'!B9</f>
        <v>15246</v>
      </c>
      <c r="J36" s="6">
        <f>IF('32 1235-1241 S Beverly Glen Blv'!B22="","",'32 1235-1241 S Beverly Glen Blv'!B22)</f>
        <v>8200000</v>
      </c>
      <c r="K36" s="6">
        <f>IF('32 1235-1241 S Beverly Glen Blv'!B23="","",'32 1235-1241 S Beverly Glen Blv'!B23)</f>
        <v>585714.28571428568</v>
      </c>
      <c r="L36" s="7">
        <f>IF('32 1235-1241 S Beverly Glen Blv'!B24="","",'32 1235-1241 S Beverly Glen Blv'!B24)</f>
        <v>725.98494909251883</v>
      </c>
      <c r="M36" s="8">
        <f>IF('32 1235-1241 S Beverly Glen Blv'!B25="","",'32 1235-1241 S Beverly Glen Blv'!B25)</f>
        <v>3.1199999999999999E-2</v>
      </c>
      <c r="N36" s="9" t="str">
        <f>IF('32 1235-1241 S Beverly Glen Blv'!B26="","",'32 1235-1241 S Beverly Glen Blv'!B26)</f>
        <v/>
      </c>
      <c r="O36" s="6">
        <f>IF('32 1235-1241 S Beverly Glen Blv'!B54="","",'32 1235-1241 S Beverly Glen Blv'!B54)</f>
        <v>0</v>
      </c>
      <c r="P36" s="6">
        <f>IF('32 1235-1241 S Beverly Glen Blv'!D54="","",'32 1235-1241 S Beverly Glen Blv'!D54)</f>
        <v>13834.378571428571</v>
      </c>
      <c r="Q36" s="3" t="str">
        <f>'32 1235-1241 S Beverly Glen Blv'!B56</f>
        <v>OM expenses not published</v>
      </c>
      <c r="R36" s="6">
        <f>IF('32 1235-1241 S Beverly Glen Blv'!B60="","",'32 1235-1241 S Beverly Glen Blv'!B60)</f>
        <v>255840</v>
      </c>
      <c r="S36" s="6">
        <f>IF('32 1235-1241 S Beverly Glen Blv'!C60="","",'32 1235-1241 S Beverly Glen Blv'!C60)</f>
        <v>326044.7</v>
      </c>
      <c r="T36" s="8">
        <f>IF('32 1235-1241 S Beverly Glen Blv'!C61="","",'32 1235-1241 S Beverly Glen Blv'!C61)</f>
        <v>3.9761548780487807E-2</v>
      </c>
      <c r="U36" s="9">
        <f>IF('32 1235-1241 S Beverly Glen Blv'!C62="","",'32 1235-1241 S Beverly Glen Blv'!C62)</f>
        <v>15.304217991787981</v>
      </c>
      <c r="V36" s="8">
        <f>IF('32 1235-1241 S Beverly Glen Blv'!B73="","",'32 1235-1241 S Beverly Glen Blv'!B73)</f>
        <v>1.3964097044390528E-2</v>
      </c>
      <c r="W36" s="3" t="s">
        <v>182</v>
      </c>
      <c r="X36" s="3" t="s">
        <v>183</v>
      </c>
      <c r="Y36" s="3" t="s">
        <v>184</v>
      </c>
      <c r="Z36" s="3" t="s">
        <v>185</v>
      </c>
      <c r="AA36" s="10" t="s">
        <v>38</v>
      </c>
      <c r="AB36" s="10" t="s">
        <v>186</v>
      </c>
      <c r="AC36" s="4" t="s">
        <v>39</v>
      </c>
    </row>
    <row r="37" spans="1:29" x14ac:dyDescent="0.25">
      <c r="A37" s="3">
        <v>33</v>
      </c>
      <c r="B37" s="4" t="s">
        <v>187</v>
      </c>
      <c r="C37" s="3" t="s">
        <v>41</v>
      </c>
      <c r="D37" s="3" t="s">
        <v>42</v>
      </c>
      <c r="E37" s="3" t="s">
        <v>41</v>
      </c>
      <c r="F37" s="5">
        <f>'33 120 Westminster Ave'!B7</f>
        <v>21</v>
      </c>
      <c r="G37" s="3">
        <f>'33 120 Westminster Ave'!B11</f>
        <v>1920</v>
      </c>
      <c r="H37" s="5">
        <f>'33 120 Westminster Ave'!B8</f>
        <v>7674</v>
      </c>
      <c r="I37" s="5">
        <f>'33 120 Westminster Ave'!B9</f>
        <v>5227</v>
      </c>
      <c r="J37" s="6">
        <f>IF('33 120 Westminster Ave'!B22="","",'33 120 Westminster Ave'!B22)</f>
        <v>4300000</v>
      </c>
      <c r="K37" s="6">
        <f>IF('33 120 Westminster Ave'!B23="","",'33 120 Westminster Ave'!B23)</f>
        <v>204761.90476190476</v>
      </c>
      <c r="L37" s="7">
        <f>IF('33 120 Westminster Ave'!B24="","",'33 120 Westminster Ave'!B24)</f>
        <v>560.33359395360958</v>
      </c>
      <c r="M37" s="8" t="str">
        <f>IF('33 120 Westminster Ave'!B25="","",'33 120 Westminster Ave'!B25)</f>
        <v/>
      </c>
      <c r="N37" s="9" t="str">
        <f>IF('33 120 Westminster Ave'!B26="","",'33 120 Westminster Ave'!B26)</f>
        <v/>
      </c>
      <c r="O37" s="6">
        <f>IF('33 120 Westminster Ave'!B53="","",'33 120 Westminster Ave'!B53)</f>
        <v>0</v>
      </c>
      <c r="P37" s="6">
        <f>IF('33 120 Westminster Ave'!D53="","",'33 120 Westminster Ave'!D53)</f>
        <v>7991.6095238095231</v>
      </c>
      <c r="Q37" s="3" t="str">
        <f>'33 120 Westminster Ave'!B55</f>
        <v>OM expenses not published</v>
      </c>
      <c r="R37" s="6" t="str">
        <f>IF('33 120 Westminster Ave'!B59="","",'33 120 Westminster Ave'!B59)</f>
        <v/>
      </c>
      <c r="S37" s="6">
        <f>IF('33 120 Westminster Ave'!C59="","",'33 120 Westminster Ave'!C59)</f>
        <v>343172.2</v>
      </c>
      <c r="T37" s="8">
        <f>IF('33 120 Westminster Ave'!C60="","",'33 120 Westminster Ave'!C60)</f>
        <v>7.9807488372093033E-2</v>
      </c>
      <c r="U37" s="9">
        <f>IF('33 120 Westminster Ave'!C61="","",'33 120 Westminster Ave'!C61)</f>
        <v>8.1624905087319668</v>
      </c>
      <c r="V37" s="8">
        <f>IF('33 120 Westminster Ave'!B72="","",'33 120 Westminster Ave'!B72)</f>
        <v>8.8689624853482099E-2</v>
      </c>
      <c r="W37" s="3" t="s">
        <v>90</v>
      </c>
      <c r="X37" s="3" t="s">
        <v>111</v>
      </c>
      <c r="Y37" s="3" t="s">
        <v>188</v>
      </c>
      <c r="Z37" s="3" t="s">
        <v>113</v>
      </c>
      <c r="AA37" s="10" t="s">
        <v>120</v>
      </c>
      <c r="AB37" s="10" t="s">
        <v>189</v>
      </c>
      <c r="AC37" s="4" t="s">
        <v>39</v>
      </c>
    </row>
    <row r="38" spans="1:29" x14ac:dyDescent="0.25">
      <c r="A38" s="3">
        <v>34</v>
      </c>
      <c r="B38" s="4" t="s">
        <v>190</v>
      </c>
      <c r="C38" s="3" t="s">
        <v>41</v>
      </c>
      <c r="D38" s="3" t="s">
        <v>42</v>
      </c>
      <c r="E38" s="3" t="s">
        <v>41</v>
      </c>
      <c r="F38" s="5">
        <f>'34 30 Dudley Ave'!B7</f>
        <v>18</v>
      </c>
      <c r="G38" s="3">
        <f>'34 30 Dudley Ave'!B11</f>
        <v>1908</v>
      </c>
      <c r="H38" s="5">
        <f>'34 30 Dudley Ave'!B8</f>
        <v>8490</v>
      </c>
      <c r="I38" s="5">
        <f>'34 30 Dudley Ave'!B9</f>
        <v>3920</v>
      </c>
      <c r="J38" s="6" t="str">
        <f>IF('34 30 Dudley Ave'!B22="","",'34 30 Dudley Ave'!B22)</f>
        <v/>
      </c>
      <c r="K38" s="6">
        <f>IF('34 30 Dudley Ave'!B23="","",'34 30 Dudley Ave'!B23)</f>
        <v>0</v>
      </c>
      <c r="L38" s="7">
        <f>IF('34 30 Dudley Ave'!B24="","",'34 30 Dudley Ave'!B24)</f>
        <v>0</v>
      </c>
      <c r="M38" s="8" t="str">
        <f>IF('34 30 Dudley Ave'!B25="","",'34 30 Dudley Ave'!B25)</f>
        <v/>
      </c>
      <c r="N38" s="9" t="str">
        <f>IF('34 30 Dudley Ave'!B26="","",'34 30 Dudley Ave'!B26)</f>
        <v/>
      </c>
      <c r="O38" s="6">
        <f>IF('34 30 Dudley Ave'!B52="","",'34 30 Dudley Ave'!B52)</f>
        <v>0</v>
      </c>
      <c r="P38" s="6">
        <f>IF('34 30 Dudley Ave'!D52="","",'34 30 Dudley Ave'!D52)</f>
        <v>5427.4666666666662</v>
      </c>
      <c r="Q38" s="3" t="str">
        <f>'34 30 Dudley Ave'!B54</f>
        <v>OM expenses not published</v>
      </c>
      <c r="R38" s="6" t="str">
        <f>IF('34 30 Dudley Ave'!B58="","",'34 30 Dudley Ave'!B58)</f>
        <v/>
      </c>
      <c r="S38" s="6">
        <f>IF('34 30 Dudley Ave'!C58="","",'34 30 Dudley Ave'!C58)</f>
        <v>300393.59999999998</v>
      </c>
      <c r="T38" s="8" t="str">
        <f>IF('34 30 Dudley Ave'!C59="","",'34 30 Dudley Ave'!C59)</f>
        <v/>
      </c>
      <c r="U38" s="9">
        <f>IF('34 30 Dudley Ave'!C60="","",'34 30 Dudley Ave'!C60)</f>
        <v>0</v>
      </c>
      <c r="V38" s="8" t="str">
        <f>IF('34 30 Dudley Ave'!B71="","",'34 30 Dudley Ave'!B71)</f>
        <v/>
      </c>
      <c r="W38" s="3" t="s">
        <v>34</v>
      </c>
      <c r="X38" s="3" t="s">
        <v>87</v>
      </c>
      <c r="Y38" s="3" t="s">
        <v>83</v>
      </c>
      <c r="Z38" s="3" t="s">
        <v>83</v>
      </c>
      <c r="AA38" s="10" t="s">
        <v>120</v>
      </c>
      <c r="AB38" s="10" t="s">
        <v>191</v>
      </c>
      <c r="AC38" s="4" t="s">
        <v>39</v>
      </c>
    </row>
    <row r="39" spans="1:29" x14ac:dyDescent="0.25">
      <c r="A39" s="3">
        <v>35</v>
      </c>
      <c r="B39" s="4" t="s">
        <v>192</v>
      </c>
      <c r="C39" s="3" t="s">
        <v>54</v>
      </c>
      <c r="D39" s="3" t="s">
        <v>55</v>
      </c>
      <c r="E39" s="3" t="s">
        <v>56</v>
      </c>
      <c r="F39" s="5">
        <f>'35 1814 Federal Ave'!B7</f>
        <v>12</v>
      </c>
      <c r="G39" s="3">
        <f>'35 1814 Federal Ave'!B11</f>
        <v>2024</v>
      </c>
      <c r="H39" s="5">
        <f>'35 1814 Federal Ave'!B8</f>
        <v>8000</v>
      </c>
      <c r="I39" s="5">
        <f>'35 1814 Federal Ave'!B9</f>
        <v>5663</v>
      </c>
      <c r="J39" s="6" t="str">
        <f>IF('35 1814 Federal Ave'!B22="","",'35 1814 Federal Ave'!B22)</f>
        <v/>
      </c>
      <c r="K39" s="6">
        <f>IF('35 1814 Federal Ave'!B23="","",'35 1814 Federal Ave'!B23)</f>
        <v>0</v>
      </c>
      <c r="L39" s="7">
        <f>IF('35 1814 Federal Ave'!B24="","",'35 1814 Federal Ave'!B24)</f>
        <v>0</v>
      </c>
      <c r="M39" s="8" t="str">
        <f>IF('35 1814 Federal Ave'!B25="","",'35 1814 Federal Ave'!B25)</f>
        <v/>
      </c>
      <c r="N39" s="9" t="str">
        <f>IF('35 1814 Federal Ave'!B26="","",'35 1814 Federal Ave'!B26)</f>
        <v/>
      </c>
      <c r="O39" s="6">
        <f>IF('35 1814 Federal Ave'!B52="","",'35 1814 Federal Ave'!B52)</f>
        <v>0</v>
      </c>
      <c r="P39" s="6">
        <f>IF('35 1814 Federal Ave'!D52="","",'35 1814 Federal Ave'!D52)</f>
        <v>5397.0666666666666</v>
      </c>
      <c r="Q39" s="3" t="str">
        <f>'35 1814 Federal Ave'!B54</f>
        <v>OM expenses not published</v>
      </c>
      <c r="R39" s="6" t="str">
        <f>IF('35 1814 Federal Ave'!B58="","",'35 1814 Federal Ave'!B58)</f>
        <v/>
      </c>
      <c r="S39" s="6">
        <f>IF('35 1814 Federal Ave'!C58="","",'35 1814 Federal Ave'!C58)</f>
        <v>242531.20000000001</v>
      </c>
      <c r="T39" s="8" t="str">
        <f>IF('35 1814 Federal Ave'!C59="","",'35 1814 Federal Ave'!C59)</f>
        <v/>
      </c>
      <c r="U39" s="9">
        <f>IF('35 1814 Federal Ave'!C60="","",'35 1814 Federal Ave'!C60)</f>
        <v>0</v>
      </c>
      <c r="V39" s="8" t="str">
        <f>IF('35 1814 Federal Ave'!B71="","",'35 1814 Federal Ave'!B71)</f>
        <v/>
      </c>
      <c r="W39" s="3"/>
      <c r="X39" s="3" t="s">
        <v>193</v>
      </c>
      <c r="Y39" s="3" t="s">
        <v>194</v>
      </c>
      <c r="Z39" s="3" t="s">
        <v>44</v>
      </c>
      <c r="AA39" s="10" t="s">
        <v>120</v>
      </c>
      <c r="AB39" s="10" t="s">
        <v>195</v>
      </c>
      <c r="AC39" s="4" t="s">
        <v>39</v>
      </c>
    </row>
    <row r="40" spans="1:29" x14ac:dyDescent="0.25">
      <c r="A40" s="3">
        <v>36</v>
      </c>
      <c r="B40" s="4" t="s">
        <v>196</v>
      </c>
      <c r="C40" s="3" t="s">
        <v>197</v>
      </c>
      <c r="D40" s="3" t="s">
        <v>198</v>
      </c>
      <c r="E40" s="3" t="s">
        <v>197</v>
      </c>
      <c r="F40" s="5">
        <f>'36 Beverly Hills double lot'!B7</f>
        <v>18</v>
      </c>
      <c r="G40" s="3">
        <f>'36 Beverly Hills double lot'!B11</f>
        <v>0</v>
      </c>
      <c r="H40" s="5">
        <f>'36 Beverly Hills double lot'!B8</f>
        <v>18404</v>
      </c>
      <c r="I40" s="5">
        <f>'36 Beverly Hills double lot'!B9</f>
        <v>15751</v>
      </c>
      <c r="J40" s="6">
        <f>IF('36 Beverly Hills double lot'!B22="","",'36 Beverly Hills double lot'!B22)</f>
        <v>10000000</v>
      </c>
      <c r="K40" s="6">
        <f>IF('36 Beverly Hills double lot'!B23="","",'36 Beverly Hills double lot'!B23)</f>
        <v>555555.5555555555</v>
      </c>
      <c r="L40" s="7">
        <f>IF('36 Beverly Hills double lot'!B24="","",'36 Beverly Hills double lot'!B24)</f>
        <v>543.36013910019562</v>
      </c>
      <c r="M40" s="8" t="str">
        <f>IF('36 Beverly Hills double lot'!B25="","",'36 Beverly Hills double lot'!B25)</f>
        <v/>
      </c>
      <c r="N40" s="9" t="str">
        <f>IF('36 Beverly Hills double lot'!B26="","",'36 Beverly Hills double lot'!B26)</f>
        <v/>
      </c>
      <c r="O40" s="6">
        <f>IF('36 Beverly Hills double lot'!B54="","",'36 Beverly Hills double lot'!B54)</f>
        <v>0</v>
      </c>
      <c r="P40" s="6">
        <f>IF('36 Beverly Hills double lot'!D54="","",'36 Beverly Hills double lot'!D54)</f>
        <v>12913.333333333334</v>
      </c>
      <c r="Q40" s="3" t="str">
        <f>'36 Beverly Hills double lot'!B56</f>
        <v>OM expenses not published</v>
      </c>
      <c r="R40" s="6" t="str">
        <f>IF('36 Beverly Hills double lot'!B60="","",'36 Beverly Hills double lot'!B60)</f>
        <v/>
      </c>
      <c r="S40" s="6">
        <f>IF('36 Beverly Hills double lot'!C60="","",'36 Beverly Hills double lot'!C60)</f>
        <v>326280</v>
      </c>
      <c r="T40" s="8">
        <f>IF('36 Beverly Hills double lot'!C61="","",'36 Beverly Hills double lot'!C61)</f>
        <v>3.2627999999999997E-2</v>
      </c>
      <c r="U40" s="9">
        <f>IF('36 Beverly Hills double lot'!C62="","",'36 Beverly Hills double lot'!C62)</f>
        <v>17.361111111111111</v>
      </c>
      <c r="V40" s="8">
        <f>IF('36 Beverly Hills double lot'!B73="","",'36 Beverly Hills double lot'!B73)</f>
        <v>1.00902873219603E-2</v>
      </c>
      <c r="W40" s="3"/>
      <c r="X40" s="3" t="s">
        <v>199</v>
      </c>
      <c r="Y40" s="3" t="s">
        <v>200</v>
      </c>
      <c r="Z40" s="3" t="s">
        <v>51</v>
      </c>
      <c r="AA40" s="10" t="s">
        <v>120</v>
      </c>
      <c r="AB40" s="10" t="s">
        <v>201</v>
      </c>
      <c r="AC40" s="4" t="s">
        <v>39</v>
      </c>
    </row>
    <row r="41" spans="1:29" x14ac:dyDescent="0.25">
      <c r="A41" s="3">
        <v>37</v>
      </c>
      <c r="B41" s="4" t="s">
        <v>202</v>
      </c>
      <c r="C41" s="3" t="s">
        <v>197</v>
      </c>
      <c r="D41" s="3" t="s">
        <v>203</v>
      </c>
      <c r="E41" s="3" t="s">
        <v>197</v>
      </c>
      <c r="F41" s="5">
        <f>'37 337 N Palm Dr'!B7</f>
        <v>10</v>
      </c>
      <c r="G41" s="3">
        <f>'37 337 N Palm Dr'!B11</f>
        <v>1959</v>
      </c>
      <c r="H41" s="5">
        <f>'37 337 N Palm Dr'!B8</f>
        <v>8800</v>
      </c>
      <c r="I41" s="5">
        <f>'37 337 N Palm Dr'!B9</f>
        <v>7841</v>
      </c>
      <c r="J41" s="6">
        <f>IF('37 337 N Palm Dr'!B22="","",'37 337 N Palm Dr'!B22)</f>
        <v>5800000</v>
      </c>
      <c r="K41" s="6">
        <f>IF('37 337 N Palm Dr'!B23="","",'37 337 N Palm Dr'!B23)</f>
        <v>580000</v>
      </c>
      <c r="L41" s="7">
        <f>IF('37 337 N Palm Dr'!B24="","",'37 337 N Palm Dr'!B24)</f>
        <v>659.09090909090912</v>
      </c>
      <c r="M41" s="8" t="str">
        <f>IF('37 337 N Palm Dr'!B25="","",'37 337 N Palm Dr'!B25)</f>
        <v/>
      </c>
      <c r="N41" s="9" t="str">
        <f>IF('37 337 N Palm Dr'!B26="","",'37 337 N Palm Dr'!B26)</f>
        <v/>
      </c>
      <c r="O41" s="6">
        <f>IF('37 337 N Palm Dr'!B53="","",'37 337 N Palm Dr'!B53)</f>
        <v>0</v>
      </c>
      <c r="P41" s="6">
        <f>IF('37 337 N Palm Dr'!D53="","",'37 337 N Palm Dr'!D53)</f>
        <v>13083.039999999999</v>
      </c>
      <c r="Q41" s="3" t="str">
        <f>'37 337 N Palm Dr'!B55</f>
        <v>OM expenses not published</v>
      </c>
      <c r="R41" s="6" t="str">
        <f>IF('37 337 N Palm Dr'!B59="","",'37 337 N Palm Dr'!B59)</f>
        <v/>
      </c>
      <c r="S41" s="6">
        <f>IF('37 337 N Palm Dr'!C59="","",'37 337 N Palm Dr'!C59)</f>
        <v>185777.6</v>
      </c>
      <c r="T41" s="8">
        <f>IF('37 337 N Palm Dr'!C60="","",'37 337 N Palm Dr'!C60)</f>
        <v>3.2030620689655176E-2</v>
      </c>
      <c r="U41" s="9">
        <f>IF('37 337 N Palm Dr'!C61="","",'37 337 N Palm Dr'!C61)</f>
        <v>17.769607843137255</v>
      </c>
      <c r="V41" s="8">
        <f>IF('37 337 N Palm Dr'!B72="","",'37 337 N Palm Dr'!B72)</f>
        <v>9.8074580437191253E-3</v>
      </c>
      <c r="W41" s="3"/>
      <c r="X41" s="3" t="s">
        <v>199</v>
      </c>
      <c r="Y41" s="3" t="s">
        <v>204</v>
      </c>
      <c r="Z41" s="3" t="s">
        <v>51</v>
      </c>
      <c r="AA41" s="10" t="s">
        <v>120</v>
      </c>
      <c r="AB41" s="10" t="s">
        <v>189</v>
      </c>
      <c r="AC41" s="4" t="s">
        <v>39</v>
      </c>
    </row>
    <row r="42" spans="1:29" x14ac:dyDescent="0.25">
      <c r="A42" s="3">
        <v>38</v>
      </c>
      <c r="B42" s="4" t="s">
        <v>205</v>
      </c>
      <c r="C42" s="3" t="s">
        <v>95</v>
      </c>
      <c r="D42" s="3" t="s">
        <v>96</v>
      </c>
      <c r="E42" s="3" t="s">
        <v>95</v>
      </c>
      <c r="F42" s="5">
        <f>'38 7550 Fountain Ave'!B7</f>
        <v>10</v>
      </c>
      <c r="G42" s="3">
        <f>'38 7550 Fountain Ave'!B11</f>
        <v>1958</v>
      </c>
      <c r="H42" s="5">
        <f>'38 7550 Fountain Ave'!B8</f>
        <v>9444</v>
      </c>
      <c r="I42" s="5">
        <f>'38 7550 Fountain Ave'!B9</f>
        <v>6970</v>
      </c>
      <c r="J42" s="6">
        <f>IF('38 7550 Fountain Ave'!B22="","",'38 7550 Fountain Ave'!B22)</f>
        <v>3795000</v>
      </c>
      <c r="K42" s="6">
        <f>IF('38 7550 Fountain Ave'!B23="","",'38 7550 Fountain Ave'!B23)</f>
        <v>379500</v>
      </c>
      <c r="L42" s="7">
        <f>IF('38 7550 Fountain Ave'!B24="","",'38 7550 Fountain Ave'!B24)</f>
        <v>401.84243964421853</v>
      </c>
      <c r="M42" s="8" t="str">
        <f>IF('38 7550 Fountain Ave'!B25="","",'38 7550 Fountain Ave'!B25)</f>
        <v/>
      </c>
      <c r="N42" s="9" t="str">
        <f>IF('38 7550 Fountain Ave'!B26="","",'38 7550 Fountain Ave'!B26)</f>
        <v/>
      </c>
      <c r="O42" s="6">
        <f>IF('38 7550 Fountain Ave'!B53="","",'38 7550 Fountain Ave'!B53)</f>
        <v>0</v>
      </c>
      <c r="P42" s="6">
        <f>IF('38 7550 Fountain Ave'!D53="","",'38 7550 Fountain Ave'!D53)</f>
        <v>11031.439999999999</v>
      </c>
      <c r="Q42" s="3" t="str">
        <f>'38 7550 Fountain Ave'!B55</f>
        <v>OM expenses not published</v>
      </c>
      <c r="R42" s="6" t="str">
        <f>IF('38 7550 Fountain Ave'!B59="","",'38 7550 Fountain Ave'!B59)</f>
        <v/>
      </c>
      <c r="S42" s="6">
        <f>IF('38 7550 Fountain Ave'!C59="","",'38 7550 Fountain Ave'!C59)</f>
        <v>206293.6</v>
      </c>
      <c r="T42" s="8">
        <f>IF('38 7550 Fountain Ave'!C60="","",'38 7550 Fountain Ave'!C60)</f>
        <v>5.4359314888010539E-2</v>
      </c>
      <c r="U42" s="9">
        <f>IF('38 7550 Fountain Ave'!C61="","",'38 7550 Fountain Ave'!C61)</f>
        <v>11.626838235294118</v>
      </c>
      <c r="V42" s="8">
        <f>IF('38 7550 Fountain Ave'!B72="","",'38 7550 Fountain Ave'!B72)</f>
        <v>2.6424863102272596E-2</v>
      </c>
      <c r="W42" s="3" t="s">
        <v>34</v>
      </c>
      <c r="X42" s="3" t="s">
        <v>206</v>
      </c>
      <c r="Y42" s="3" t="s">
        <v>207</v>
      </c>
      <c r="Z42" s="3" t="s">
        <v>65</v>
      </c>
      <c r="AA42" s="10" t="s">
        <v>120</v>
      </c>
      <c r="AB42" s="10" t="s">
        <v>189</v>
      </c>
      <c r="AC42" s="4" t="s">
        <v>39</v>
      </c>
    </row>
    <row r="43" spans="1:29" x14ac:dyDescent="0.25">
      <c r="A43" s="3">
        <v>39</v>
      </c>
      <c r="B43" s="4" t="s">
        <v>208</v>
      </c>
      <c r="C43" s="3" t="s">
        <v>95</v>
      </c>
      <c r="D43" s="3" t="s">
        <v>147</v>
      </c>
      <c r="E43" s="3" t="s">
        <v>95</v>
      </c>
      <c r="F43" s="5">
        <f>'39 943 Hancock Ave'!B7</f>
        <v>10</v>
      </c>
      <c r="G43" s="3">
        <f>'39 943 Hancock Ave'!B11</f>
        <v>1939</v>
      </c>
      <c r="H43" s="5">
        <f>'39 943 Hancock Ave'!B8</f>
        <v>4555</v>
      </c>
      <c r="I43" s="5">
        <f>'39 943 Hancock Ave'!B9</f>
        <v>11326</v>
      </c>
      <c r="J43" s="6" t="str">
        <f>IF('39 943 Hancock Ave'!B22="","",'39 943 Hancock Ave'!B22)</f>
        <v/>
      </c>
      <c r="K43" s="6">
        <f>IF('39 943 Hancock Ave'!B23="","",'39 943 Hancock Ave'!B23)</f>
        <v>0</v>
      </c>
      <c r="L43" s="7">
        <f>IF('39 943 Hancock Ave'!B24="","",'39 943 Hancock Ave'!B24)</f>
        <v>0</v>
      </c>
      <c r="M43" s="8" t="str">
        <f>IF('39 943 Hancock Ave'!B25="","",'39 943 Hancock Ave'!B25)</f>
        <v/>
      </c>
      <c r="N43" s="9" t="str">
        <f>IF('39 943 Hancock Ave'!B26="","",'39 943 Hancock Ave'!B26)</f>
        <v/>
      </c>
      <c r="O43" s="6">
        <f>IF('39 943 Hancock Ave'!B52="","",'39 943 Hancock Ave'!B52)</f>
        <v>0</v>
      </c>
      <c r="P43" s="6">
        <f>IF('39 943 Hancock Ave'!D52="","",'39 943 Hancock Ave'!D52)</f>
        <v>5918.7</v>
      </c>
      <c r="Q43" s="3" t="str">
        <f>'39 943 Hancock Ave'!B54</f>
        <v>OM expenses not published</v>
      </c>
      <c r="R43" s="6" t="str">
        <f>IF('39 943 Hancock Ave'!B58="","",'39 943 Hancock Ave'!B58)</f>
        <v/>
      </c>
      <c r="S43" s="6">
        <f>IF('39 943 Hancock Ave'!C58="","",'39 943 Hancock Ave'!C58)</f>
        <v>243453</v>
      </c>
      <c r="T43" s="8" t="str">
        <f>IF('39 943 Hancock Ave'!C59="","",'39 943 Hancock Ave'!C59)</f>
        <v/>
      </c>
      <c r="U43" s="9">
        <f>IF('39 943 Hancock Ave'!C60="","",'39 943 Hancock Ave'!C60)</f>
        <v>0</v>
      </c>
      <c r="V43" s="8" t="str">
        <f>IF('39 943 Hancock Ave'!B71="","",'39 943 Hancock Ave'!B71)</f>
        <v/>
      </c>
      <c r="W43" s="3" t="s">
        <v>209</v>
      </c>
      <c r="X43" s="3" t="s">
        <v>193</v>
      </c>
      <c r="Y43" s="3" t="s">
        <v>210</v>
      </c>
      <c r="Z43" s="3" t="s">
        <v>44</v>
      </c>
      <c r="AA43" s="10" t="s">
        <v>38</v>
      </c>
      <c r="AB43" s="10" t="s">
        <v>211</v>
      </c>
      <c r="AC43" s="4" t="s">
        <v>39</v>
      </c>
    </row>
    <row r="44" spans="1:29" x14ac:dyDescent="0.25">
      <c r="A44" s="19"/>
      <c r="B44" s="19" t="s">
        <v>212</v>
      </c>
      <c r="C44" s="19"/>
      <c r="D44" s="19"/>
      <c r="E44" s="19"/>
      <c r="F44" s="20">
        <f>SUM(F5:F43)</f>
        <v>572</v>
      </c>
      <c r="G44" s="19"/>
      <c r="H44" s="19"/>
      <c r="I44" s="19"/>
      <c r="J44" s="21">
        <f>SUM(J5:J43)</f>
        <v>182050000</v>
      </c>
      <c r="K44" s="21">
        <f>IFERROR(J44/F44,"")</f>
        <v>318269.23076923075</v>
      </c>
      <c r="L44" s="19"/>
      <c r="M44" s="22">
        <f>IFERROR(AVERAGE(M5:M43),"")</f>
        <v>5.2012499999999996E-2</v>
      </c>
      <c r="N44" s="23">
        <f>IFERROR(AVERAGE(N5:N43),"")</f>
        <v>12.363666666666667</v>
      </c>
      <c r="O44" s="21">
        <f>IFERROR(AVERAGE(O5:O43),"")</f>
        <v>6881.912503836109</v>
      </c>
      <c r="P44" s="21">
        <f>IFERROR(AVERAGE(P5:P43),"")</f>
        <v>10297.53220301191</v>
      </c>
      <c r="Q44" s="19" t="str">
        <f>COUNTIF(Q5:Q43,"OM EXPENSES LIGHT")&amp;" of "&amp;COUNT(O5:O43)&amp;" flagged light"</f>
        <v>23 of 39 flagged light</v>
      </c>
      <c r="R44" s="19"/>
      <c r="S44" s="19"/>
      <c r="T44" s="22">
        <f>IFERROR(AVERAGE(T5:T43),"")</f>
        <v>4.8643403982645918E-2</v>
      </c>
      <c r="U44" s="19"/>
      <c r="V44" s="19"/>
      <c r="W44" s="19"/>
      <c r="X44" s="19"/>
      <c r="Y44" s="19"/>
      <c r="Z44" s="19"/>
      <c r="AA44" s="19"/>
      <c r="AB44" s="19"/>
      <c r="AC44" s="19"/>
    </row>
    <row r="47" spans="1:29" x14ac:dyDescent="0.25">
      <c r="A47" s="24" t="s">
        <v>213</v>
      </c>
    </row>
    <row r="48" spans="1:29" x14ac:dyDescent="0.25">
      <c r="B48" s="57" t="s">
        <v>214</v>
      </c>
      <c r="C48" s="58"/>
      <c r="D48" s="58"/>
      <c r="E48" s="58"/>
      <c r="F48" s="58"/>
      <c r="G48" s="58"/>
      <c r="H48" s="58"/>
      <c r="I48" s="58"/>
      <c r="J48" s="58"/>
      <c r="K48" s="58"/>
      <c r="L48" s="58"/>
      <c r="M48" s="58"/>
      <c r="N48" s="58"/>
      <c r="O48" s="58"/>
      <c r="P48" s="58"/>
      <c r="Q48" s="58"/>
      <c r="R48" s="58"/>
      <c r="S48" s="58"/>
      <c r="T48" s="58"/>
    </row>
    <row r="49" spans="2:20" x14ac:dyDescent="0.25">
      <c r="B49" s="57" t="s">
        <v>215</v>
      </c>
      <c r="C49" s="58"/>
      <c r="D49" s="58"/>
      <c r="E49" s="58"/>
      <c r="F49" s="58"/>
      <c r="G49" s="58"/>
      <c r="H49" s="58"/>
      <c r="I49" s="58"/>
      <c r="J49" s="58"/>
      <c r="K49" s="58"/>
      <c r="L49" s="58"/>
      <c r="M49" s="58"/>
      <c r="N49" s="58"/>
      <c r="O49" s="58"/>
      <c r="P49" s="58"/>
      <c r="Q49" s="58"/>
      <c r="R49" s="58"/>
      <c r="S49" s="58"/>
      <c r="T49" s="58"/>
    </row>
    <row r="50" spans="2:20" x14ac:dyDescent="0.25">
      <c r="B50" s="57" t="s">
        <v>216</v>
      </c>
      <c r="C50" s="58"/>
      <c r="D50" s="58"/>
      <c r="E50" s="58"/>
      <c r="F50" s="58"/>
      <c r="G50" s="58"/>
      <c r="H50" s="58"/>
      <c r="I50" s="58"/>
      <c r="J50" s="58"/>
      <c r="K50" s="58"/>
      <c r="L50" s="58"/>
      <c r="M50" s="58"/>
      <c r="N50" s="58"/>
      <c r="O50" s="58"/>
      <c r="P50" s="58"/>
      <c r="Q50" s="58"/>
      <c r="R50" s="58"/>
      <c r="S50" s="58"/>
      <c r="T50" s="58"/>
    </row>
    <row r="51" spans="2:20" x14ac:dyDescent="0.25">
      <c r="B51" s="57" t="s">
        <v>217</v>
      </c>
      <c r="C51" s="58"/>
      <c r="D51" s="58"/>
      <c r="E51" s="58"/>
      <c r="F51" s="58"/>
      <c r="G51" s="58"/>
      <c r="H51" s="58"/>
      <c r="I51" s="58"/>
      <c r="J51" s="58"/>
      <c r="K51" s="58"/>
      <c r="L51" s="58"/>
      <c r="M51" s="58"/>
      <c r="N51" s="58"/>
      <c r="O51" s="58"/>
      <c r="P51" s="58"/>
      <c r="Q51" s="58"/>
      <c r="R51" s="58"/>
      <c r="S51" s="58"/>
      <c r="T51" s="58"/>
    </row>
    <row r="52" spans="2:20" x14ac:dyDescent="0.25">
      <c r="B52" s="57" t="s">
        <v>218</v>
      </c>
      <c r="C52" s="58"/>
      <c r="D52" s="58"/>
      <c r="E52" s="58"/>
      <c r="F52" s="58"/>
      <c r="G52" s="58"/>
      <c r="H52" s="58"/>
      <c r="I52" s="58"/>
      <c r="J52" s="58"/>
      <c r="K52" s="58"/>
      <c r="L52" s="58"/>
      <c r="M52" s="58"/>
      <c r="N52" s="58"/>
      <c r="O52" s="58"/>
      <c r="P52" s="58"/>
      <c r="Q52" s="58"/>
      <c r="R52" s="58"/>
      <c r="S52" s="58"/>
      <c r="T52" s="58"/>
    </row>
    <row r="53" spans="2:20" x14ac:dyDescent="0.25">
      <c r="B53" s="57" t="s">
        <v>219</v>
      </c>
      <c r="C53" s="58"/>
      <c r="D53" s="58"/>
      <c r="E53" s="58"/>
      <c r="F53" s="58"/>
      <c r="G53" s="58"/>
      <c r="H53" s="58"/>
      <c r="I53" s="58"/>
      <c r="J53" s="58"/>
      <c r="K53" s="58"/>
      <c r="L53" s="58"/>
      <c r="M53" s="58"/>
      <c r="N53" s="58"/>
      <c r="O53" s="58"/>
      <c r="P53" s="58"/>
      <c r="Q53" s="58"/>
      <c r="R53" s="58"/>
      <c r="S53" s="58"/>
      <c r="T53" s="58"/>
    </row>
    <row r="54" spans="2:20" x14ac:dyDescent="0.25">
      <c r="B54" s="57" t="s">
        <v>220</v>
      </c>
      <c r="C54" s="58"/>
      <c r="D54" s="58"/>
      <c r="E54" s="58"/>
      <c r="F54" s="58"/>
      <c r="G54" s="58"/>
      <c r="H54" s="58"/>
      <c r="I54" s="58"/>
      <c r="J54" s="58"/>
      <c r="K54" s="58"/>
      <c r="L54" s="58"/>
      <c r="M54" s="58"/>
      <c r="N54" s="58"/>
      <c r="O54" s="58"/>
      <c r="P54" s="58"/>
      <c r="Q54" s="58"/>
      <c r="R54" s="58"/>
      <c r="S54" s="58"/>
      <c r="T54" s="58"/>
    </row>
    <row r="55" spans="2:20" x14ac:dyDescent="0.25">
      <c r="B55" s="57" t="s">
        <v>221</v>
      </c>
      <c r="C55" s="58"/>
      <c r="D55" s="58"/>
      <c r="E55" s="58"/>
      <c r="F55" s="58"/>
      <c r="G55" s="58"/>
      <c r="H55" s="58"/>
      <c r="I55" s="58"/>
      <c r="J55" s="58"/>
      <c r="K55" s="58"/>
      <c r="L55" s="58"/>
      <c r="M55" s="58"/>
      <c r="N55" s="58"/>
      <c r="O55" s="58"/>
      <c r="P55" s="58"/>
      <c r="Q55" s="58"/>
      <c r="R55" s="58"/>
      <c r="S55" s="58"/>
      <c r="T55" s="58"/>
    </row>
    <row r="56" spans="2:20" x14ac:dyDescent="0.25">
      <c r="B56" s="57" t="s">
        <v>222</v>
      </c>
      <c r="C56" s="58"/>
      <c r="D56" s="58"/>
      <c r="E56" s="58"/>
      <c r="F56" s="58"/>
      <c r="G56" s="58"/>
      <c r="H56" s="58"/>
      <c r="I56" s="58"/>
      <c r="J56" s="58"/>
      <c r="K56" s="58"/>
      <c r="L56" s="58"/>
      <c r="M56" s="58"/>
      <c r="N56" s="58"/>
      <c r="O56" s="58"/>
      <c r="P56" s="58"/>
      <c r="Q56" s="58"/>
      <c r="R56" s="58"/>
      <c r="S56" s="58"/>
      <c r="T56" s="58"/>
    </row>
  </sheetData>
  <autoFilter ref="A4:AC43" xr:uid="{00000000-0009-0000-0000-000000000000}"/>
  <mergeCells count="10">
    <mergeCell ref="B51:T51"/>
    <mergeCell ref="A2:X2"/>
    <mergeCell ref="B50:T50"/>
    <mergeCell ref="B56:T56"/>
    <mergeCell ref="B49:T49"/>
    <mergeCell ref="B52:T52"/>
    <mergeCell ref="B53:T53"/>
    <mergeCell ref="B55:T55"/>
    <mergeCell ref="B48:T48"/>
    <mergeCell ref="B54:T54"/>
  </mergeCells>
  <conditionalFormatting sqref="Q5:Q43">
    <cfRule type="expression" dxfId="1" priority="1">
      <formula>Q5="OM EXPENSES LIGHT"</formula>
    </cfRule>
    <cfRule type="expression" dxfId="0" priority="2">
      <formula>Q5="OM expenses reasonable"</formula>
    </cfRule>
  </conditionalFormatting>
  <hyperlinks>
    <hyperlink ref="B5" location="'01 1129 Lincoln Blvd'!A1" display="1129 Lincoln Blvd" xr:uid="{00000000-0004-0000-0000-000000000000}"/>
    <hyperlink ref="AC5" r:id="rId1" xr:uid="{00000000-0004-0000-0000-000001000000}"/>
    <hyperlink ref="B6" location="'02 2001 Penmar Ave'!A1" display="2001 Penmar Ave" xr:uid="{00000000-0004-0000-0000-000002000000}"/>
    <hyperlink ref="AC6" r:id="rId2" xr:uid="{00000000-0004-0000-0000-000003000000}"/>
    <hyperlink ref="B7" location="'03 947-953 11th St'!A1" display="947-953 11th St (Voss Apartments)" xr:uid="{00000000-0004-0000-0000-000004000000}"/>
    <hyperlink ref="AC7" r:id="rId3" xr:uid="{00000000-0004-0000-0000-000005000000}"/>
    <hyperlink ref="B8" location="'04 1811 Parnell Ave'!A1" display="1811 Parnell Ave" xr:uid="{00000000-0004-0000-0000-000006000000}"/>
    <hyperlink ref="AC8" r:id="rId4" xr:uid="{00000000-0004-0000-0000-000007000000}"/>
    <hyperlink ref="B9" location="'05 2619 S Sepulveda Blvd'!A1" display="2619 S Sepulveda Blvd" xr:uid="{00000000-0004-0000-0000-000008000000}"/>
    <hyperlink ref="AC9" r:id="rId5" xr:uid="{00000000-0004-0000-0000-000009000000}"/>
    <hyperlink ref="B10" location="'06 2015-2021 Chariton St'!A1" display="2015-2021 Chariton St" xr:uid="{00000000-0004-0000-0000-00000A000000}"/>
    <hyperlink ref="AC10" r:id="rId6" xr:uid="{00000000-0004-0000-0000-00000B000000}"/>
    <hyperlink ref="B11" location="'07 11825 National Blvd'!A1" display="11825 National Blvd" xr:uid="{00000000-0004-0000-0000-00000C000000}"/>
    <hyperlink ref="AC11" r:id="rId7" xr:uid="{00000000-0004-0000-0000-00000D000000}"/>
    <hyperlink ref="B12" location="'08 1811 S Bentley Ave'!A1" display="1811 S Bentley Ave (Brazilia Apts)" xr:uid="{00000000-0004-0000-0000-00000E000000}"/>
    <hyperlink ref="AC12" r:id="rId8" xr:uid="{00000000-0004-0000-0000-00000F000000}"/>
    <hyperlink ref="B13" location="'09 3602 Keystone Ave'!A1" display="3602 Keystone Ave" xr:uid="{00000000-0004-0000-0000-000010000000}"/>
    <hyperlink ref="AC13" r:id="rId9" xr:uid="{00000000-0004-0000-0000-000011000000}"/>
    <hyperlink ref="B14" location="'10 2626 Cloverfield Blvd'!A1" display="2626 Cloverfield Blvd" xr:uid="{00000000-0004-0000-0000-000012000000}"/>
    <hyperlink ref="AC14" r:id="rId10" xr:uid="{00000000-0004-0000-0000-000013000000}"/>
    <hyperlink ref="B15" location="'11 440 Raymond Ave'!A1" display="440 Raymond Ave" xr:uid="{00000000-0004-0000-0000-000014000000}"/>
    <hyperlink ref="AC15" r:id="rId11" xr:uid="{00000000-0004-0000-0000-000015000000}"/>
    <hyperlink ref="B16" location="'12 1429 Havenhurst Dr'!A1" display="1429 Havenhurst Dr" xr:uid="{00000000-0004-0000-0000-000016000000}"/>
    <hyperlink ref="AC16" r:id="rId12" xr:uid="{00000000-0004-0000-0000-000017000000}"/>
    <hyperlink ref="B17" location="'13 1524 Granville Ave'!A1" display="1524 Granville Ave" xr:uid="{00000000-0004-0000-0000-000018000000}"/>
    <hyperlink ref="AC17" r:id="rId13" xr:uid="{00000000-0004-0000-0000-000019000000}"/>
    <hyperlink ref="B18" location="'14 1041 S Corning St'!A1" display="1041 S Corning St" xr:uid="{00000000-0004-0000-0000-00001A000000}"/>
    <hyperlink ref="AC18" r:id="rId14" xr:uid="{00000000-0004-0000-0000-00001B000000}"/>
    <hyperlink ref="B19" location="'15 20 Brooks Ave'!A1" display="20 Brooks Ave" xr:uid="{00000000-0004-0000-0000-00001C000000}"/>
    <hyperlink ref="AC19" r:id="rId15" xr:uid="{00000000-0004-0000-0000-00001D000000}"/>
    <hyperlink ref="B20" location="'16 3827 Tilden Ave'!A1" display="3827 Tilden Ave (The Tilden)" xr:uid="{00000000-0004-0000-0000-00001E000000}"/>
    <hyperlink ref="AC20" r:id="rId16" xr:uid="{00000000-0004-0000-0000-00001F000000}"/>
    <hyperlink ref="B21" location="'17 900 N Orange Grove Ave'!A1" display="900 N Orange Grove Ave" xr:uid="{00000000-0004-0000-0000-000020000000}"/>
    <hyperlink ref="AC21" r:id="rId17" xr:uid="{00000000-0004-0000-0000-000021000000}"/>
    <hyperlink ref="B22" location="'18 11401 Washington Pl'!A1" display="11401 Washington Pl" xr:uid="{00000000-0004-0000-0000-000022000000}"/>
    <hyperlink ref="AC22" r:id="rId18" xr:uid="{00000000-0004-0000-0000-000023000000}"/>
    <hyperlink ref="B23" location="'19 7526 Fountain Ave'!A1" display="7526 Fountain Ave" xr:uid="{00000000-0004-0000-0000-000024000000}"/>
    <hyperlink ref="AC23" r:id="rId19" xr:uid="{00000000-0004-0000-0000-000025000000}"/>
    <hyperlink ref="B24" location="'20 1942 Euclid St'!A1" display="1942 Euclid St" xr:uid="{00000000-0004-0000-0000-000026000000}"/>
    <hyperlink ref="AC24" r:id="rId20" xr:uid="{00000000-0004-0000-0000-000027000000}"/>
    <hyperlink ref="B25" location="'21 3575-3595 S Sepulveda Blvd'!A1" display="3575-3595 S Sepulveda Blvd" xr:uid="{00000000-0004-0000-0000-000028000000}"/>
    <hyperlink ref="AC25" r:id="rId21" xr:uid="{00000000-0004-0000-0000-000029000000}"/>
    <hyperlink ref="B26" location="'22 222-228 Idaho Ave'!A1" display="222-228 Idaho Ave" xr:uid="{00000000-0004-0000-0000-00002A000000}"/>
    <hyperlink ref="AC26" r:id="rId22" xr:uid="{00000000-0004-0000-0000-00002B000000}"/>
    <hyperlink ref="B27" location="'23 8468 Fountain Ave'!A1" display="8468 Fountain Ave" xr:uid="{00000000-0004-0000-0000-00002C000000}"/>
    <hyperlink ref="AC27" r:id="rId23" xr:uid="{00000000-0004-0000-0000-00002D000000}"/>
    <hyperlink ref="B28" location="'24 1217 9th St'!A1" display="1217 9th St" xr:uid="{00000000-0004-0000-0000-00002E000000}"/>
    <hyperlink ref="AC28" r:id="rId24" xr:uid="{00000000-0004-0000-0000-00002F000000}"/>
    <hyperlink ref="B29" location="'25 1256 S Westgate Ave'!A1" display="1256 S Westgate Ave" xr:uid="{00000000-0004-0000-0000-000030000000}"/>
    <hyperlink ref="AC29" r:id="rId25" xr:uid="{00000000-0004-0000-0000-000031000000}"/>
    <hyperlink ref="B30" location="'26 3410 Club Dr'!A1" display="3410 Club Dr" xr:uid="{00000000-0004-0000-0000-000032000000}"/>
    <hyperlink ref="AC30" r:id="rId26" xr:uid="{00000000-0004-0000-0000-000033000000}"/>
    <hyperlink ref="B31" location="'27 1050 12th St'!A1" display="1050 12th St" xr:uid="{00000000-0004-0000-0000-000034000000}"/>
    <hyperlink ref="AC31" r:id="rId27" xr:uid="{00000000-0004-0000-0000-000035000000}"/>
    <hyperlink ref="B32" location="'28 1307 15th St'!A1" display="1307 15th St" xr:uid="{00000000-0004-0000-0000-000036000000}"/>
    <hyperlink ref="AC32" r:id="rId28" xr:uid="{00000000-0004-0000-0000-000037000000}"/>
    <hyperlink ref="B33" location="'29 3750 Midvale Ave'!A1" display="3750 Midvale Ave" xr:uid="{00000000-0004-0000-0000-000038000000}"/>
    <hyperlink ref="AC33" r:id="rId29" xr:uid="{00000000-0004-0000-0000-000039000000}"/>
    <hyperlink ref="B34" location="'30 823 5th St'!A1" display="823 5th St" xr:uid="{00000000-0004-0000-0000-00003A000000}"/>
    <hyperlink ref="AC34" r:id="rId30" xr:uid="{00000000-0004-0000-0000-00003B000000}"/>
    <hyperlink ref="B35" location="'31 1269 Havenhurst Dr'!A1" display="1269 Havenhurst Dr (Casa Julieta)" xr:uid="{00000000-0004-0000-0000-00003C000000}"/>
    <hyperlink ref="AC35" r:id="rId31" xr:uid="{00000000-0004-0000-0000-00003D000000}"/>
    <hyperlink ref="B36" location="'32 1235-1241 S Beverly Glen Blv'!A1" display="1235-1241 S Beverly Glen Blvd" xr:uid="{00000000-0004-0000-0000-00003E000000}"/>
    <hyperlink ref="AC36" r:id="rId32" xr:uid="{00000000-0004-0000-0000-00003F000000}"/>
    <hyperlink ref="B37" location="'33 120 Westminster Ave'!A1" display="120 Westminster Ave" xr:uid="{00000000-0004-0000-0000-000040000000}"/>
    <hyperlink ref="AC37" r:id="rId33" xr:uid="{00000000-0004-0000-0000-000041000000}"/>
    <hyperlink ref="B38" location="'34 30 Dudley Ave'!A1" display="30 Dudley Ave" xr:uid="{00000000-0004-0000-0000-000042000000}"/>
    <hyperlink ref="AC38" r:id="rId34" xr:uid="{00000000-0004-0000-0000-000043000000}"/>
    <hyperlink ref="B39" location="'35 1814 Federal Ave'!A1" display="1814 Federal Ave" xr:uid="{00000000-0004-0000-0000-000044000000}"/>
    <hyperlink ref="AC39" r:id="rId35" xr:uid="{00000000-0004-0000-0000-000045000000}"/>
    <hyperlink ref="B40" location="'36 Beverly Hills double lot'!A1" display="Beverly Hills double lot (18 units, 2 bldgs)" xr:uid="{00000000-0004-0000-0000-000046000000}"/>
    <hyperlink ref="AC40" r:id="rId36" xr:uid="{00000000-0004-0000-0000-000047000000}"/>
    <hyperlink ref="B41" location="'37 337 N Palm Dr'!A1" display="337 N Palm Dr" xr:uid="{00000000-0004-0000-0000-000048000000}"/>
    <hyperlink ref="AC41" r:id="rId37" xr:uid="{00000000-0004-0000-0000-000049000000}"/>
    <hyperlink ref="B42" location="'38 7550 Fountain Ave'!A1" display="7550 Fountain Ave" xr:uid="{00000000-0004-0000-0000-00004A000000}"/>
    <hyperlink ref="AC42" r:id="rId38" xr:uid="{00000000-0004-0000-0000-00004B000000}"/>
    <hyperlink ref="B43" location="'39 943 Hancock Ave'!A1" display="943 Hancock Ave" xr:uid="{00000000-0004-0000-0000-00004C000000}"/>
    <hyperlink ref="AC43" r:id="rId39" xr:uid="{00000000-0004-0000-0000-00004D000000}"/>
  </hyperlink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40"/>
  <sheetViews>
    <sheetView workbookViewId="0"/>
  </sheetViews>
  <sheetFormatPr defaultRowHeight="15" x14ac:dyDescent="0.25"/>
  <cols>
    <col min="1" max="1" width="62" customWidth="1"/>
    <col min="2" max="2" width="14" customWidth="1"/>
    <col min="3" max="3" width="80" customWidth="1"/>
  </cols>
  <sheetData>
    <row r="1" spans="1:3" ht="17.25" x14ac:dyDescent="0.3">
      <c r="A1" s="25" t="s">
        <v>223</v>
      </c>
      <c r="C1" s="26"/>
    </row>
    <row r="2" spans="1:3" x14ac:dyDescent="0.25">
      <c r="C2" s="26"/>
    </row>
    <row r="3" spans="1:3" x14ac:dyDescent="0.25">
      <c r="A3" t="s">
        <v>224</v>
      </c>
      <c r="B3" s="27">
        <v>0.03</v>
      </c>
      <c r="C3" s="26" t="s">
        <v>225</v>
      </c>
    </row>
    <row r="4" spans="1:3" x14ac:dyDescent="0.25">
      <c r="A4" t="s">
        <v>226</v>
      </c>
      <c r="B4" s="27">
        <v>0.05</v>
      </c>
      <c r="C4" s="26" t="s">
        <v>227</v>
      </c>
    </row>
    <row r="5" spans="1:3" x14ac:dyDescent="0.25">
      <c r="A5" t="s">
        <v>228</v>
      </c>
      <c r="B5" s="28">
        <v>200</v>
      </c>
      <c r="C5" s="26" t="s">
        <v>229</v>
      </c>
    </row>
    <row r="6" spans="1:3" x14ac:dyDescent="0.25">
      <c r="A6" t="s">
        <v>230</v>
      </c>
      <c r="B6" s="29">
        <v>1</v>
      </c>
      <c r="C6" s="26"/>
    </row>
    <row r="7" spans="1:3" x14ac:dyDescent="0.25">
      <c r="A7" t="s">
        <v>231</v>
      </c>
      <c r="B7" s="28">
        <v>1200</v>
      </c>
      <c r="C7" s="26"/>
    </row>
    <row r="8" spans="1:3" x14ac:dyDescent="0.25">
      <c r="A8" t="s">
        <v>232</v>
      </c>
      <c r="B8" s="28">
        <v>800</v>
      </c>
      <c r="C8" s="26"/>
    </row>
    <row r="9" spans="1:3" x14ac:dyDescent="0.25">
      <c r="A9" t="s">
        <v>233</v>
      </c>
      <c r="B9" s="28">
        <v>1500</v>
      </c>
      <c r="C9" s="26" t="s">
        <v>234</v>
      </c>
    </row>
    <row r="10" spans="1:3" x14ac:dyDescent="0.25">
      <c r="A10" t="s">
        <v>235</v>
      </c>
      <c r="B10" s="28">
        <v>1800</v>
      </c>
      <c r="C10" s="26" t="s">
        <v>236</v>
      </c>
    </row>
    <row r="11" spans="1:3" x14ac:dyDescent="0.25">
      <c r="A11" t="s">
        <v>237</v>
      </c>
      <c r="B11" s="28">
        <v>1600</v>
      </c>
      <c r="C11" s="26"/>
    </row>
    <row r="12" spans="1:3" x14ac:dyDescent="0.25">
      <c r="A12" t="s">
        <v>238</v>
      </c>
      <c r="B12" s="28">
        <v>400</v>
      </c>
      <c r="C12" s="26" t="s">
        <v>239</v>
      </c>
    </row>
    <row r="13" spans="1:3" x14ac:dyDescent="0.25">
      <c r="A13" t="s">
        <v>240</v>
      </c>
      <c r="B13" s="28">
        <v>250</v>
      </c>
      <c r="C13" s="26" t="s">
        <v>241</v>
      </c>
    </row>
    <row r="14" spans="1:3" x14ac:dyDescent="0.25">
      <c r="A14" t="s">
        <v>242</v>
      </c>
      <c r="B14" s="28">
        <v>300</v>
      </c>
      <c r="C14" s="26"/>
    </row>
    <row r="15" spans="1:3" x14ac:dyDescent="0.25">
      <c r="A15" t="s">
        <v>243</v>
      </c>
      <c r="B15" s="27">
        <v>1.2500000000000001E-2</v>
      </c>
      <c r="C15" s="26" t="s">
        <v>244</v>
      </c>
    </row>
    <row r="16" spans="1:3" x14ac:dyDescent="0.25">
      <c r="A16" t="s">
        <v>245</v>
      </c>
      <c r="B16" s="27">
        <v>1.15E-2</v>
      </c>
      <c r="C16" s="26"/>
    </row>
    <row r="17" spans="1:3" x14ac:dyDescent="0.25">
      <c r="A17" t="s">
        <v>246</v>
      </c>
      <c r="B17" s="27">
        <v>1.15E-2</v>
      </c>
      <c r="C17" s="26"/>
    </row>
    <row r="18" spans="1:3" x14ac:dyDescent="0.25">
      <c r="A18" t="s">
        <v>247</v>
      </c>
      <c r="B18" s="27">
        <v>1.2E-2</v>
      </c>
      <c r="C18" s="26"/>
    </row>
    <row r="19" spans="1:3" x14ac:dyDescent="0.25">
      <c r="A19" t="s">
        <v>248</v>
      </c>
      <c r="B19" s="27">
        <v>1.2E-2</v>
      </c>
      <c r="C19" s="26"/>
    </row>
    <row r="20" spans="1:3" x14ac:dyDescent="0.25">
      <c r="A20" t="s">
        <v>249</v>
      </c>
      <c r="B20" s="27">
        <v>0.6</v>
      </c>
      <c r="C20" s="26"/>
    </row>
    <row r="21" spans="1:3" x14ac:dyDescent="0.25">
      <c r="A21" t="s">
        <v>250</v>
      </c>
      <c r="B21" s="30">
        <v>1.25</v>
      </c>
      <c r="C21" s="26" t="s">
        <v>251</v>
      </c>
    </row>
    <row r="22" spans="1:3" x14ac:dyDescent="0.25">
      <c r="A22" t="s">
        <v>252</v>
      </c>
      <c r="B22" s="27">
        <v>6.25E-2</v>
      </c>
      <c r="C22" s="26"/>
    </row>
    <row r="23" spans="1:3" x14ac:dyDescent="0.25">
      <c r="A23" t="s">
        <v>253</v>
      </c>
      <c r="B23" s="30">
        <v>30</v>
      </c>
      <c r="C23" s="26"/>
    </row>
    <row r="24" spans="1:3" x14ac:dyDescent="0.25">
      <c r="A24" t="s">
        <v>254</v>
      </c>
      <c r="B24" s="27">
        <v>0.05</v>
      </c>
      <c r="C24" s="26" t="s">
        <v>255</v>
      </c>
    </row>
    <row r="25" spans="1:3" x14ac:dyDescent="0.25">
      <c r="C25" s="26"/>
    </row>
    <row r="26" spans="1:3" x14ac:dyDescent="0.25">
      <c r="A26" s="24" t="s">
        <v>256</v>
      </c>
      <c r="C26" s="26"/>
    </row>
    <row r="27" spans="1:3" x14ac:dyDescent="0.25">
      <c r="A27" t="s">
        <v>257</v>
      </c>
      <c r="B27" s="30">
        <v>0.7</v>
      </c>
      <c r="C27" s="26"/>
    </row>
    <row r="28" spans="1:3" x14ac:dyDescent="0.25">
      <c r="A28" t="s">
        <v>258</v>
      </c>
      <c r="B28" s="30">
        <v>1</v>
      </c>
      <c r="C28" s="26"/>
    </row>
    <row r="29" spans="1:3" x14ac:dyDescent="0.25">
      <c r="A29" t="s">
        <v>259</v>
      </c>
      <c r="B29" s="30">
        <v>1.35</v>
      </c>
      <c r="C29" s="26"/>
    </row>
    <row r="30" spans="1:3" x14ac:dyDescent="0.25">
      <c r="A30" t="s">
        <v>260</v>
      </c>
      <c r="B30" s="30">
        <v>1.75</v>
      </c>
      <c r="C30" s="26"/>
    </row>
    <row r="31" spans="1:3" x14ac:dyDescent="0.25">
      <c r="C31" s="26"/>
    </row>
    <row r="32" spans="1:3" x14ac:dyDescent="0.25">
      <c r="A32" s="24" t="s">
        <v>261</v>
      </c>
      <c r="B32" s="31"/>
      <c r="C32" s="26"/>
    </row>
    <row r="33" spans="1:3" x14ac:dyDescent="0.25">
      <c r="A33" t="s">
        <v>262</v>
      </c>
      <c r="B33" s="28">
        <v>1900</v>
      </c>
      <c r="C33" s="26"/>
    </row>
    <row r="34" spans="1:3" x14ac:dyDescent="0.25">
      <c r="A34" t="s">
        <v>263</v>
      </c>
      <c r="B34" s="28">
        <v>2400</v>
      </c>
      <c r="C34" s="26"/>
    </row>
    <row r="35" spans="1:3" x14ac:dyDescent="0.25">
      <c r="A35" t="s">
        <v>264</v>
      </c>
      <c r="B35" s="28">
        <v>3200</v>
      </c>
      <c r="C35" s="26"/>
    </row>
    <row r="36" spans="1:3" x14ac:dyDescent="0.25">
      <c r="A36" t="s">
        <v>265</v>
      </c>
      <c r="B36" s="28">
        <v>4200</v>
      </c>
      <c r="C36" s="26"/>
    </row>
    <row r="37" spans="1:3" x14ac:dyDescent="0.25">
      <c r="A37" t="s">
        <v>266</v>
      </c>
      <c r="B37" s="28">
        <v>1750</v>
      </c>
      <c r="C37" s="26"/>
    </row>
    <row r="38" spans="1:3" x14ac:dyDescent="0.25">
      <c r="A38" t="s">
        <v>267</v>
      </c>
      <c r="B38" s="28">
        <v>2200</v>
      </c>
      <c r="C38" s="26"/>
    </row>
    <row r="39" spans="1:3" x14ac:dyDescent="0.25">
      <c r="A39" t="s">
        <v>268</v>
      </c>
      <c r="B39" s="28">
        <v>2900</v>
      </c>
      <c r="C39" s="26"/>
    </row>
    <row r="40" spans="1:3" x14ac:dyDescent="0.25">
      <c r="A40" t="s">
        <v>269</v>
      </c>
      <c r="B40" s="28">
        <v>3800</v>
      </c>
      <c r="C40" s="26"/>
    </row>
  </sheetData>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77"/>
  <sheetViews>
    <sheetView showGridLines="0" workbookViewId="0">
      <pane ySplit="5" topLeftCell="A6" activePane="bottomLeft" state="frozen"/>
      <selection pane="bottomLeft"/>
    </sheetView>
  </sheetViews>
  <sheetFormatPr defaultRowHeight="15" x14ac:dyDescent="0.25"/>
  <cols>
    <col min="1" max="1" width="38" customWidth="1"/>
    <col min="2" max="5" width="16" customWidth="1"/>
    <col min="6" max="6" width="48" customWidth="1"/>
    <col min="7" max="7" width="12" customWidth="1"/>
  </cols>
  <sheetData>
    <row r="1" spans="1:3" ht="19.5" x14ac:dyDescent="0.3">
      <c r="A1" s="1" t="s">
        <v>31</v>
      </c>
    </row>
    <row r="2" spans="1:3" x14ac:dyDescent="0.25">
      <c r="A2" s="32" t="s">
        <v>270</v>
      </c>
    </row>
    <row r="3" spans="1:3" x14ac:dyDescent="0.25">
      <c r="A3" s="33" t="s">
        <v>271</v>
      </c>
      <c r="B3" s="26" t="s">
        <v>272</v>
      </c>
    </row>
    <row r="6" spans="1:3" x14ac:dyDescent="0.25">
      <c r="A6" s="34" t="s">
        <v>273</v>
      </c>
      <c r="B6" s="35"/>
      <c r="C6" s="35"/>
    </row>
    <row r="7" spans="1:3" x14ac:dyDescent="0.25">
      <c r="A7" t="s">
        <v>7</v>
      </c>
      <c r="B7" s="36">
        <v>10</v>
      </c>
    </row>
    <row r="8" spans="1:3" x14ac:dyDescent="0.25">
      <c r="A8" t="s">
        <v>274</v>
      </c>
      <c r="B8" s="36">
        <v>7377</v>
      </c>
    </row>
    <row r="9" spans="1:3" x14ac:dyDescent="0.25">
      <c r="A9" t="s">
        <v>10</v>
      </c>
      <c r="B9" s="36">
        <v>7405</v>
      </c>
    </row>
    <row r="10" spans="1:3" x14ac:dyDescent="0.25">
      <c r="A10" t="s">
        <v>275</v>
      </c>
      <c r="B10" s="37">
        <v>0.17</v>
      </c>
    </row>
    <row r="11" spans="1:3" x14ac:dyDescent="0.25">
      <c r="A11" t="s">
        <v>8</v>
      </c>
      <c r="B11">
        <v>1956</v>
      </c>
    </row>
    <row r="12" spans="1:3" x14ac:dyDescent="0.25">
      <c r="A12" t="s">
        <v>276</v>
      </c>
      <c r="B12" t="s">
        <v>277</v>
      </c>
    </row>
    <row r="13" spans="1:3" x14ac:dyDescent="0.25">
      <c r="A13" t="s">
        <v>278</v>
      </c>
      <c r="B13" t="s">
        <v>279</v>
      </c>
    </row>
    <row r="14" spans="1:3" x14ac:dyDescent="0.25">
      <c r="A14" t="s">
        <v>280</v>
      </c>
      <c r="B14" t="s">
        <v>34</v>
      </c>
    </row>
    <row r="15" spans="1:3" x14ac:dyDescent="0.25">
      <c r="A15" t="s">
        <v>281</v>
      </c>
      <c r="B15" t="s">
        <v>282</v>
      </c>
    </row>
    <row r="16" spans="1:3" x14ac:dyDescent="0.25">
      <c r="A16" t="s">
        <v>283</v>
      </c>
      <c r="B16" s="31">
        <v>787301</v>
      </c>
    </row>
    <row r="17" spans="1:6" x14ac:dyDescent="0.25">
      <c r="A17" t="s">
        <v>284</v>
      </c>
      <c r="B17" t="s">
        <v>35</v>
      </c>
    </row>
    <row r="18" spans="1:6" x14ac:dyDescent="0.25">
      <c r="A18" t="s">
        <v>285</v>
      </c>
      <c r="B18" t="s">
        <v>36</v>
      </c>
    </row>
    <row r="19" spans="1:6" x14ac:dyDescent="0.25">
      <c r="A19" t="s">
        <v>286</v>
      </c>
      <c r="B19" t="s">
        <v>37</v>
      </c>
    </row>
    <row r="21" spans="1:6" x14ac:dyDescent="0.25">
      <c r="A21" s="34" t="s">
        <v>287</v>
      </c>
      <c r="B21" s="35"/>
      <c r="C21" s="35"/>
    </row>
    <row r="22" spans="1:6" x14ac:dyDescent="0.25">
      <c r="A22" t="s">
        <v>11</v>
      </c>
      <c r="B22" s="28">
        <v>3100000</v>
      </c>
    </row>
    <row r="23" spans="1:6" x14ac:dyDescent="0.25">
      <c r="A23" t="s">
        <v>288</v>
      </c>
      <c r="B23" s="31">
        <f>IFERROR(B22/B7,"")</f>
        <v>310000</v>
      </c>
    </row>
    <row r="24" spans="1:6" x14ac:dyDescent="0.25">
      <c r="A24" t="s">
        <v>289</v>
      </c>
      <c r="B24" s="38">
        <f>IFERROR(B22/B8,"")</f>
        <v>420.2250237223804</v>
      </c>
    </row>
    <row r="25" spans="1:6" x14ac:dyDescent="0.25">
      <c r="A25" t="s">
        <v>290</v>
      </c>
      <c r="B25" s="39">
        <v>6.3200000000000006E-2</v>
      </c>
    </row>
    <row r="26" spans="1:6" x14ac:dyDescent="0.25">
      <c r="A26" t="s">
        <v>291</v>
      </c>
      <c r="B26" s="40">
        <v>11.16</v>
      </c>
    </row>
    <row r="28" spans="1:6" x14ac:dyDescent="0.25">
      <c r="A28" s="34" t="s">
        <v>292</v>
      </c>
      <c r="B28" s="35"/>
      <c r="C28" s="35"/>
      <c r="D28" s="35"/>
      <c r="E28" s="35"/>
      <c r="F28" s="35"/>
    </row>
    <row r="29" spans="1:6" x14ac:dyDescent="0.25">
      <c r="A29" s="41" t="s">
        <v>293</v>
      </c>
      <c r="B29" s="41" t="s">
        <v>294</v>
      </c>
      <c r="C29" s="41" t="s">
        <v>295</v>
      </c>
      <c r="D29" s="41" t="s">
        <v>296</v>
      </c>
      <c r="E29" s="41" t="s">
        <v>297</v>
      </c>
      <c r="F29" s="41" t="s">
        <v>298</v>
      </c>
    </row>
    <row r="30" spans="1:6" x14ac:dyDescent="0.25">
      <c r="A30" t="s">
        <v>299</v>
      </c>
      <c r="B30" s="36">
        <v>1</v>
      </c>
      <c r="C30" s="28">
        <v>2296</v>
      </c>
      <c r="D30" s="31">
        <f>B30*C30</f>
        <v>2296</v>
      </c>
      <c r="E30" s="31">
        <f>D30*12</f>
        <v>27552</v>
      </c>
      <c r="F30" s="26" t="s">
        <v>38</v>
      </c>
    </row>
    <row r="31" spans="1:6" x14ac:dyDescent="0.25">
      <c r="A31" t="s">
        <v>300</v>
      </c>
      <c r="B31" s="36">
        <v>1</v>
      </c>
      <c r="C31" s="28">
        <v>2840</v>
      </c>
      <c r="D31" s="31">
        <f>B31*C31</f>
        <v>2840</v>
      </c>
      <c r="E31" s="31">
        <f>D31*12</f>
        <v>34080</v>
      </c>
      <c r="F31" s="26" t="s">
        <v>38</v>
      </c>
    </row>
    <row r="32" spans="1:6" x14ac:dyDescent="0.25">
      <c r="A32" t="s">
        <v>301</v>
      </c>
      <c r="B32" s="36">
        <v>1</v>
      </c>
      <c r="C32" s="28">
        <v>2995</v>
      </c>
      <c r="D32" s="31">
        <f>B32*C32</f>
        <v>2995</v>
      </c>
      <c r="E32" s="31">
        <f>D32*12</f>
        <v>35940</v>
      </c>
      <c r="F32" s="26" t="s">
        <v>38</v>
      </c>
    </row>
    <row r="33" spans="1:6" x14ac:dyDescent="0.25">
      <c r="A33" t="s">
        <v>302</v>
      </c>
      <c r="B33" s="36">
        <v>5</v>
      </c>
      <c r="C33" s="28">
        <v>2300</v>
      </c>
      <c r="D33" s="31">
        <f>B33*C33</f>
        <v>11500</v>
      </c>
      <c r="E33" s="31">
        <f>D33*12</f>
        <v>138000</v>
      </c>
      <c r="F33" s="26" t="s">
        <v>38</v>
      </c>
    </row>
    <row r="34" spans="1:6" x14ac:dyDescent="0.25">
      <c r="A34" t="s">
        <v>257</v>
      </c>
      <c r="B34" s="36">
        <v>2</v>
      </c>
      <c r="C34" s="28">
        <v>1922</v>
      </c>
      <c r="D34" s="31">
        <f>B34*C34</f>
        <v>3844</v>
      </c>
      <c r="E34" s="31">
        <f>D34*12</f>
        <v>46128</v>
      </c>
      <c r="F34" s="26" t="s">
        <v>38</v>
      </c>
    </row>
    <row r="35" spans="1:6" x14ac:dyDescent="0.25">
      <c r="A35" s="42" t="s">
        <v>303</v>
      </c>
      <c r="B35" s="43">
        <f>SUM(B30:B34)</f>
        <v>10</v>
      </c>
      <c r="C35" s="44">
        <f>IFERROR(D35/B35,"")</f>
        <v>2347.5</v>
      </c>
      <c r="D35" s="44">
        <f>SUM(D30:D34)</f>
        <v>23475</v>
      </c>
      <c r="E35" s="44">
        <f>SUM(E30:E34)</f>
        <v>281700</v>
      </c>
    </row>
    <row r="37" spans="1:6" x14ac:dyDescent="0.25">
      <c r="A37" s="34" t="s">
        <v>304</v>
      </c>
      <c r="B37" s="35"/>
      <c r="C37" s="35"/>
      <c r="D37" s="35"/>
      <c r="E37" s="35"/>
      <c r="F37" s="35"/>
    </row>
    <row r="38" spans="1:6" x14ac:dyDescent="0.25">
      <c r="A38" s="45"/>
      <c r="B38" s="45" t="s">
        <v>305</v>
      </c>
      <c r="C38" s="45" t="s">
        <v>306</v>
      </c>
      <c r="D38" s="45"/>
      <c r="E38" s="45"/>
      <c r="F38" s="45" t="s">
        <v>307</v>
      </c>
    </row>
    <row r="39" spans="1:6" x14ac:dyDescent="0.25">
      <c r="A39" t="s">
        <v>308</v>
      </c>
      <c r="B39" s="31">
        <v>277777.77777777781</v>
      </c>
      <c r="C39" s="31">
        <f>E35</f>
        <v>281700</v>
      </c>
      <c r="F39" s="26" t="s">
        <v>309</v>
      </c>
    </row>
    <row r="40" spans="1:6" x14ac:dyDescent="0.25">
      <c r="A40" t="s">
        <v>310</v>
      </c>
      <c r="B40" s="31">
        <v>0</v>
      </c>
      <c r="C40" s="28">
        <v>0</v>
      </c>
    </row>
    <row r="41" spans="1:6" x14ac:dyDescent="0.25">
      <c r="A41" s="42" t="s">
        <v>311</v>
      </c>
      <c r="B41" s="31">
        <f>B39+B40</f>
        <v>277777.77777777781</v>
      </c>
      <c r="C41" s="31">
        <f>C39+C40</f>
        <v>281700</v>
      </c>
    </row>
    <row r="42" spans="1:6" x14ac:dyDescent="0.25">
      <c r="A42" t="s">
        <v>312</v>
      </c>
      <c r="B42" s="31">
        <f>-B39*0.03</f>
        <v>-8333.3333333333339</v>
      </c>
      <c r="C42" s="31">
        <f>-C39*Assumptions!$B$3</f>
        <v>-8451</v>
      </c>
      <c r="F42" s="26" t="s">
        <v>313</v>
      </c>
    </row>
    <row r="43" spans="1:6" x14ac:dyDescent="0.25">
      <c r="A43" s="42" t="s">
        <v>314</v>
      </c>
      <c r="B43" s="44">
        <f>B41+B42</f>
        <v>269444.4444444445</v>
      </c>
      <c r="C43" s="44">
        <f>C41+C42</f>
        <v>273249</v>
      </c>
    </row>
    <row r="45" spans="1:6" x14ac:dyDescent="0.25">
      <c r="A45" s="34" t="s">
        <v>315</v>
      </c>
      <c r="B45" s="35"/>
      <c r="C45" s="35"/>
      <c r="D45" s="35"/>
      <c r="E45" s="35"/>
      <c r="F45" s="35"/>
    </row>
    <row r="46" spans="1:6" x14ac:dyDescent="0.25">
      <c r="A46" s="45" t="s">
        <v>316</v>
      </c>
      <c r="B46" s="45" t="s">
        <v>305</v>
      </c>
      <c r="C46" s="45" t="s">
        <v>317</v>
      </c>
      <c r="D46" s="45" t="s">
        <v>306</v>
      </c>
      <c r="E46" s="45" t="s">
        <v>318</v>
      </c>
      <c r="F46" s="45" t="s">
        <v>307</v>
      </c>
    </row>
    <row r="47" spans="1:6" x14ac:dyDescent="0.25">
      <c r="A47" t="s">
        <v>319</v>
      </c>
      <c r="B47" s="31"/>
      <c r="C47" s="31">
        <f>B22*Assumptions!$B$16</f>
        <v>35650</v>
      </c>
      <c r="D47" s="46">
        <f>C47</f>
        <v>35650</v>
      </c>
      <c r="E47" s="31" t="str">
        <f t="shared" ref="E47:E55" si="0">IF(ISNUMBER(B47),D47-B47,"")</f>
        <v/>
      </c>
      <c r="F47" s="26" t="s">
        <v>320</v>
      </c>
    </row>
    <row r="48" spans="1:6" x14ac:dyDescent="0.25">
      <c r="A48" t="s">
        <v>321</v>
      </c>
      <c r="B48" s="31"/>
      <c r="C48" s="31">
        <f>B7*Assumptions!$B$5+B8*Assumptions!$B$6</f>
        <v>9377</v>
      </c>
      <c r="D48" s="46">
        <f t="shared" ref="D48:D54" si="1">IF(ISNUMBER(B48),MAX(B48,C48),C48)</f>
        <v>9377</v>
      </c>
      <c r="E48" s="31" t="str">
        <f t="shared" si="0"/>
        <v/>
      </c>
      <c r="F48" s="26" t="s">
        <v>322</v>
      </c>
    </row>
    <row r="49" spans="1:6" x14ac:dyDescent="0.25">
      <c r="A49" t="s">
        <v>323</v>
      </c>
      <c r="B49" s="31"/>
      <c r="C49" s="31">
        <f>C43*Assumptions!$B$4</f>
        <v>13662.45</v>
      </c>
      <c r="D49" s="46">
        <f t="shared" si="1"/>
        <v>13662.45</v>
      </c>
      <c r="E49" s="31" t="str">
        <f t="shared" si="0"/>
        <v/>
      </c>
      <c r="F49" s="26" t="s">
        <v>324</v>
      </c>
    </row>
    <row r="50" spans="1:6" x14ac:dyDescent="0.25">
      <c r="A50" t="s">
        <v>325</v>
      </c>
      <c r="B50" s="31"/>
      <c r="C50" s="31">
        <f>B7*Assumptions!$B$7</f>
        <v>12000</v>
      </c>
      <c r="D50" s="46">
        <f t="shared" si="1"/>
        <v>12000</v>
      </c>
      <c r="E50" s="31" t="str">
        <f t="shared" si="0"/>
        <v/>
      </c>
      <c r="F50" s="26" t="s">
        <v>326</v>
      </c>
    </row>
    <row r="51" spans="1:6" x14ac:dyDescent="0.25">
      <c r="A51" t="s">
        <v>327</v>
      </c>
      <c r="B51" s="31"/>
      <c r="C51" s="31">
        <f>B7*Assumptions!$B$10</f>
        <v>18000</v>
      </c>
      <c r="D51" s="46">
        <f t="shared" si="1"/>
        <v>18000</v>
      </c>
      <c r="E51" s="31" t="str">
        <f t="shared" si="0"/>
        <v/>
      </c>
      <c r="F51" s="26" t="s">
        <v>328</v>
      </c>
    </row>
    <row r="52" spans="1:6" x14ac:dyDescent="0.25">
      <c r="A52" t="s">
        <v>329</v>
      </c>
      <c r="B52" s="31"/>
      <c r="C52" s="31">
        <f>B7*Assumptions!$B$12</f>
        <v>4000</v>
      </c>
      <c r="D52" s="46">
        <f t="shared" si="1"/>
        <v>4000</v>
      </c>
      <c r="E52" s="31" t="str">
        <f t="shared" si="0"/>
        <v/>
      </c>
      <c r="F52" s="26" t="s">
        <v>330</v>
      </c>
    </row>
    <row r="53" spans="1:6" x14ac:dyDescent="0.25">
      <c r="A53" t="s">
        <v>331</v>
      </c>
      <c r="B53" s="31"/>
      <c r="C53" s="31">
        <f>B7*Assumptions!$B$13</f>
        <v>2500</v>
      </c>
      <c r="D53" s="46">
        <f t="shared" si="1"/>
        <v>2500</v>
      </c>
      <c r="E53" s="31" t="str">
        <f t="shared" si="0"/>
        <v/>
      </c>
      <c r="F53" s="26" t="s">
        <v>332</v>
      </c>
    </row>
    <row r="54" spans="1:6" x14ac:dyDescent="0.25">
      <c r="A54" t="s">
        <v>333</v>
      </c>
      <c r="B54" s="31"/>
      <c r="C54" s="31">
        <f>B7*Assumptions!$B$14</f>
        <v>3000</v>
      </c>
      <c r="D54" s="46">
        <f t="shared" si="1"/>
        <v>3000</v>
      </c>
      <c r="E54" s="31" t="str">
        <f t="shared" si="0"/>
        <v/>
      </c>
      <c r="F54" s="26" t="s">
        <v>330</v>
      </c>
    </row>
    <row r="55" spans="1:6" x14ac:dyDescent="0.25">
      <c r="A55" s="42" t="s">
        <v>334</v>
      </c>
      <c r="B55" s="44">
        <f>B43-B22*B25</f>
        <v>73524.444444444467</v>
      </c>
      <c r="C55" s="44">
        <f>SUM(C47:C54)</f>
        <v>98189.45</v>
      </c>
      <c r="D55" s="44">
        <f>SUM(D47:D54)</f>
        <v>98189.45</v>
      </c>
      <c r="E55" s="44">
        <f t="shared" si="0"/>
        <v>24665.00555555553</v>
      </c>
      <c r="F55" s="26" t="s">
        <v>335</v>
      </c>
    </row>
    <row r="56" spans="1:6" x14ac:dyDescent="0.25">
      <c r="A56" t="s">
        <v>336</v>
      </c>
      <c r="B56" s="31">
        <f>IFERROR(B55/B7,"")</f>
        <v>7352.4444444444471</v>
      </c>
      <c r="C56" s="31">
        <f>IFERROR(C55/B7,"")</f>
        <v>9818.9449999999997</v>
      </c>
      <c r="D56" s="31">
        <f>IFERROR(D55/B7,"")</f>
        <v>9818.9449999999997</v>
      </c>
    </row>
    <row r="57" spans="1:6" x14ac:dyDescent="0.25">
      <c r="A57" t="s">
        <v>337</v>
      </c>
      <c r="B57" s="39">
        <f>IFERROR(B55/B43,"")</f>
        <v>0.27287422680412377</v>
      </c>
      <c r="C57" s="39">
        <f>IFERROR(C55/C43,"")</f>
        <v>0.35934056483280818</v>
      </c>
      <c r="D57" s="39">
        <f>IF(C39&gt;0,IFERROR(D55/C43,""),"")</f>
        <v>0.35934056483280818</v>
      </c>
    </row>
    <row r="58" spans="1:6" x14ac:dyDescent="0.25">
      <c r="A58" s="42" t="s">
        <v>18</v>
      </c>
      <c r="B58" s="47" t="str">
        <f>IF(ISNUMBER(B55),IF(D55&gt;B55*(1+Assumptions!$B$24),"OM EXPENSES LIGHT","OM expenses reasonable"),"OM expenses not published")</f>
        <v>OM EXPENSES LIGHT</v>
      </c>
    </row>
    <row r="60" spans="1:6" x14ac:dyDescent="0.25">
      <c r="A60" s="34" t="s">
        <v>338</v>
      </c>
      <c r="B60" s="35"/>
      <c r="C60" s="35"/>
      <c r="D60" s="35"/>
      <c r="E60" s="35"/>
      <c r="F60" s="35"/>
    </row>
    <row r="61" spans="1:6" x14ac:dyDescent="0.25">
      <c r="A61" s="45"/>
      <c r="B61" s="45" t="s">
        <v>305</v>
      </c>
      <c r="C61" s="45" t="s">
        <v>306</v>
      </c>
      <c r="D61" s="45"/>
      <c r="E61" s="45"/>
      <c r="F61" s="45" t="s">
        <v>307</v>
      </c>
    </row>
    <row r="62" spans="1:6" x14ac:dyDescent="0.25">
      <c r="A62" s="42" t="s">
        <v>339</v>
      </c>
      <c r="B62" s="44">
        <f>B43-B55</f>
        <v>195920.00000000003</v>
      </c>
      <c r="C62" s="44">
        <f>IF(C39&gt;0,C43-D55,"")</f>
        <v>175059.55</v>
      </c>
    </row>
    <row r="63" spans="1:6" x14ac:dyDescent="0.25">
      <c r="A63" s="42" t="s">
        <v>340</v>
      </c>
      <c r="B63" s="39">
        <f>IFERROR(B62/B22,"")</f>
        <v>6.3200000000000006E-2</v>
      </c>
      <c r="C63" s="39">
        <f>IF(C62="","",IFERROR(C62/B22,""))</f>
        <v>5.6470822580645161E-2</v>
      </c>
      <c r="F63" s="26" t="s">
        <v>341</v>
      </c>
    </row>
    <row r="64" spans="1:6" x14ac:dyDescent="0.25">
      <c r="A64" t="s">
        <v>342</v>
      </c>
      <c r="B64" s="40">
        <f>IFERROR(B22/B39,"")</f>
        <v>11.159999999999998</v>
      </c>
      <c r="C64" s="40">
        <f>IF(C39&gt;0,IFERROR(B22/C39,""),"")</f>
        <v>11.004614838480654</v>
      </c>
    </row>
    <row r="65" spans="1:6" x14ac:dyDescent="0.25">
      <c r="A65" t="s">
        <v>343</v>
      </c>
      <c r="B65" s="31">
        <f>IFERROR(B62/B7,"")</f>
        <v>19592.000000000004</v>
      </c>
      <c r="C65" s="31">
        <f>IF(C62="","",IFERROR(C62/B7,""))</f>
        <v>17505.954999999998</v>
      </c>
    </row>
    <row r="67" spans="1:6" x14ac:dyDescent="0.25">
      <c r="A67" s="34" t="s">
        <v>344</v>
      </c>
      <c r="B67" s="35"/>
      <c r="C67" s="35"/>
      <c r="D67" s="35"/>
      <c r="E67" s="35"/>
      <c r="F67" s="35"/>
    </row>
    <row r="68" spans="1:6" x14ac:dyDescent="0.25">
      <c r="A68" t="s">
        <v>345</v>
      </c>
      <c r="B68" s="31">
        <f>IFERROR(B22*Assumptions!$B$20,"")</f>
        <v>1860000</v>
      </c>
    </row>
    <row r="69" spans="1:6" x14ac:dyDescent="0.25">
      <c r="A69" t="s">
        <v>346</v>
      </c>
      <c r="B69" s="31">
        <f>IF(C62="","",IFERROR(PV(Assumptions!$B$22/12,Assumptions!$B$23*12,-C62/Assumptions!$B$21/12),""))</f>
        <v>1895454.0588738746</v>
      </c>
    </row>
    <row r="70" spans="1:6" x14ac:dyDescent="0.25">
      <c r="A70" s="42" t="s">
        <v>347</v>
      </c>
      <c r="B70" s="31">
        <f>IFERROR(MIN(B68,B69),"")</f>
        <v>1860000</v>
      </c>
    </row>
    <row r="71" spans="1:6" x14ac:dyDescent="0.25">
      <c r="A71" t="s">
        <v>348</v>
      </c>
      <c r="B71" s="31">
        <f>IFERROR(B22-B70,"")</f>
        <v>1240000</v>
      </c>
    </row>
    <row r="72" spans="1:6" x14ac:dyDescent="0.25">
      <c r="A72" t="s">
        <v>349</v>
      </c>
      <c r="B72" s="31">
        <f>IFERROR(-PMT(Assumptions!$B$22/12,Assumptions!$B$23*12,B70)*12,"")</f>
        <v>137428.07913517061</v>
      </c>
    </row>
    <row r="73" spans="1:6" x14ac:dyDescent="0.25">
      <c r="A73" t="s">
        <v>350</v>
      </c>
      <c r="B73" s="40">
        <f>IFERROR(C62/B72,"")</f>
        <v>1.2738266524690056</v>
      </c>
    </row>
    <row r="74" spans="1:6" x14ac:dyDescent="0.25">
      <c r="A74" t="s">
        <v>351</v>
      </c>
      <c r="B74" s="31">
        <f>IFERROR(C62-B72,"")</f>
        <v>37631.470864829374</v>
      </c>
    </row>
    <row r="75" spans="1:6" x14ac:dyDescent="0.25">
      <c r="A75" t="s">
        <v>352</v>
      </c>
      <c r="B75" s="39">
        <f>IFERROR(B74/B71,"")</f>
        <v>3.0347960374862398E-2</v>
      </c>
    </row>
    <row r="77" spans="1:6" x14ac:dyDescent="0.25">
      <c r="A77" s="26" t="s">
        <v>353</v>
      </c>
    </row>
  </sheetData>
  <hyperlinks>
    <hyperlink ref="A3" r:id="rId1" xr:uid="{00000000-0004-0000-0200-000000000000}"/>
  </hyperlinks>
  <pageMargins left="0.75" right="0.75" top="1" bottom="1" header="0.5" footer="0.5"/>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77"/>
  <sheetViews>
    <sheetView showGridLines="0" workbookViewId="0">
      <pane ySplit="5" topLeftCell="A6" activePane="bottomLeft" state="frozen"/>
      <selection pane="bottomLeft"/>
    </sheetView>
  </sheetViews>
  <sheetFormatPr defaultRowHeight="15" x14ac:dyDescent="0.25"/>
  <cols>
    <col min="1" max="1" width="38" customWidth="1"/>
    <col min="2" max="5" width="16" customWidth="1"/>
    <col min="6" max="6" width="48" customWidth="1"/>
    <col min="7" max="7" width="12" customWidth="1"/>
  </cols>
  <sheetData>
    <row r="1" spans="1:3" ht="19.5" x14ac:dyDescent="0.3">
      <c r="A1" s="1" t="s">
        <v>40</v>
      </c>
    </row>
    <row r="2" spans="1:3" x14ac:dyDescent="0.25">
      <c r="A2" s="32" t="s">
        <v>354</v>
      </c>
    </row>
    <row r="3" spans="1:3" x14ac:dyDescent="0.25">
      <c r="A3" s="33" t="s">
        <v>271</v>
      </c>
      <c r="B3" s="26" t="s">
        <v>544</v>
      </c>
    </row>
    <row r="4" spans="1:3" x14ac:dyDescent="0.25">
      <c r="A4" s="53" t="s">
        <v>562</v>
      </c>
    </row>
    <row r="6" spans="1:3" x14ac:dyDescent="0.25">
      <c r="A6" s="34" t="s">
        <v>273</v>
      </c>
      <c r="B6" s="35"/>
      <c r="C6" s="35"/>
    </row>
    <row r="7" spans="1:3" x14ac:dyDescent="0.25">
      <c r="A7" t="s">
        <v>7</v>
      </c>
      <c r="B7" s="36">
        <v>14</v>
      </c>
    </row>
    <row r="8" spans="1:3" x14ac:dyDescent="0.25">
      <c r="A8" t="s">
        <v>274</v>
      </c>
      <c r="B8" s="36">
        <v>9532</v>
      </c>
    </row>
    <row r="9" spans="1:3" x14ac:dyDescent="0.25">
      <c r="A9" t="s">
        <v>10</v>
      </c>
      <c r="B9" s="36">
        <v>10019</v>
      </c>
    </row>
    <row r="10" spans="1:3" x14ac:dyDescent="0.25">
      <c r="A10" t="s">
        <v>275</v>
      </c>
      <c r="B10" s="37">
        <v>0.23</v>
      </c>
    </row>
    <row r="11" spans="1:3" x14ac:dyDescent="0.25">
      <c r="A11" t="s">
        <v>8</v>
      </c>
      <c r="B11">
        <v>1962</v>
      </c>
    </row>
    <row r="12" spans="1:3" x14ac:dyDescent="0.25">
      <c r="A12" t="s">
        <v>276</v>
      </c>
      <c r="B12" t="s">
        <v>355</v>
      </c>
    </row>
    <row r="13" spans="1:3" x14ac:dyDescent="0.25">
      <c r="A13" t="s">
        <v>278</v>
      </c>
      <c r="B13" t="s">
        <v>356</v>
      </c>
    </row>
    <row r="14" spans="1:3" x14ac:dyDescent="0.25">
      <c r="A14" t="s">
        <v>280</v>
      </c>
      <c r="B14" t="s">
        <v>34</v>
      </c>
    </row>
    <row r="15" spans="1:3" x14ac:dyDescent="0.25">
      <c r="A15" t="s">
        <v>281</v>
      </c>
      <c r="B15" t="s">
        <v>357</v>
      </c>
    </row>
    <row r="16" spans="1:3" x14ac:dyDescent="0.25">
      <c r="A16" t="s">
        <v>283</v>
      </c>
      <c r="B16" s="31">
        <v>3993440</v>
      </c>
    </row>
    <row r="17" spans="1:6" x14ac:dyDescent="0.25">
      <c r="A17" t="s">
        <v>284</v>
      </c>
      <c r="B17" t="s">
        <v>43</v>
      </c>
    </row>
    <row r="18" spans="1:6" x14ac:dyDescent="0.25">
      <c r="A18" t="s">
        <v>285</v>
      </c>
      <c r="B18" t="s">
        <v>44</v>
      </c>
    </row>
    <row r="19" spans="1:6" x14ac:dyDescent="0.25">
      <c r="A19" t="s">
        <v>286</v>
      </c>
      <c r="B19" t="s">
        <v>44</v>
      </c>
    </row>
    <row r="21" spans="1:6" x14ac:dyDescent="0.25">
      <c r="A21" s="34" t="s">
        <v>287</v>
      </c>
      <c r="B21" s="35"/>
      <c r="C21" s="35"/>
    </row>
    <row r="22" spans="1:6" x14ac:dyDescent="0.25">
      <c r="A22" t="s">
        <v>11</v>
      </c>
      <c r="B22" s="28">
        <v>5095000</v>
      </c>
    </row>
    <row r="23" spans="1:6" x14ac:dyDescent="0.25">
      <c r="A23" t="s">
        <v>288</v>
      </c>
      <c r="B23" s="31">
        <f>IFERROR(B22/B7,"")</f>
        <v>363928.57142857142</v>
      </c>
    </row>
    <row r="24" spans="1:6" x14ac:dyDescent="0.25">
      <c r="A24" t="s">
        <v>289</v>
      </c>
      <c r="B24" s="38">
        <f>IFERROR(B22/B8,"")</f>
        <v>534.5153168275283</v>
      </c>
    </row>
    <row r="25" spans="1:6" x14ac:dyDescent="0.25">
      <c r="A25" t="s">
        <v>290</v>
      </c>
      <c r="B25" s="39">
        <v>6.2E-2</v>
      </c>
    </row>
    <row r="26" spans="1:6" x14ac:dyDescent="0.25">
      <c r="A26" t="s">
        <v>291</v>
      </c>
      <c r="B26" s="40">
        <v>11.34</v>
      </c>
    </row>
    <row r="28" spans="1:6" x14ac:dyDescent="0.25">
      <c r="A28" s="34" t="s">
        <v>292</v>
      </c>
      <c r="B28" s="35"/>
      <c r="C28" s="35"/>
      <c r="D28" s="35"/>
      <c r="E28" s="35"/>
      <c r="F28" s="35"/>
    </row>
    <row r="29" spans="1:6" x14ac:dyDescent="0.25">
      <c r="A29" s="41" t="s">
        <v>293</v>
      </c>
      <c r="B29" s="41" t="s">
        <v>294</v>
      </c>
      <c r="C29" s="41" t="s">
        <v>295</v>
      </c>
      <c r="D29" s="41" t="s">
        <v>296</v>
      </c>
      <c r="E29" s="41" t="s">
        <v>297</v>
      </c>
      <c r="F29" s="41" t="s">
        <v>298</v>
      </c>
    </row>
    <row r="30" spans="1:6" x14ac:dyDescent="0.25">
      <c r="A30" t="s">
        <v>494</v>
      </c>
      <c r="B30" s="36">
        <v>2</v>
      </c>
      <c r="C30" s="56">
        <v>2143</v>
      </c>
      <c r="D30" s="51">
        <f>B30*C30</f>
        <v>4286</v>
      </c>
      <c r="E30" s="51">
        <f>D30*12</f>
        <v>51432</v>
      </c>
      <c r="F30" s="52" t="s">
        <v>541</v>
      </c>
    </row>
    <row r="31" spans="1:6" x14ac:dyDescent="0.25">
      <c r="A31" t="s">
        <v>495</v>
      </c>
      <c r="B31" s="36">
        <v>4</v>
      </c>
      <c r="C31" s="56">
        <v>2185</v>
      </c>
      <c r="D31" s="51">
        <f>B31*C31</f>
        <v>8740</v>
      </c>
      <c r="E31" s="51">
        <f>D31*12</f>
        <v>104880</v>
      </c>
      <c r="F31" s="52" t="s">
        <v>541</v>
      </c>
    </row>
    <row r="32" spans="1:6" x14ac:dyDescent="0.25">
      <c r="A32" t="s">
        <v>496</v>
      </c>
      <c r="B32" s="36">
        <v>5</v>
      </c>
      <c r="C32" s="56">
        <v>2770</v>
      </c>
      <c r="D32" s="51">
        <f>B32*C32</f>
        <v>13850</v>
      </c>
      <c r="E32" s="51">
        <f>D32*12</f>
        <v>166200</v>
      </c>
      <c r="F32" s="52" t="s">
        <v>541</v>
      </c>
    </row>
    <row r="33" spans="1:6" x14ac:dyDescent="0.25">
      <c r="A33" t="s">
        <v>497</v>
      </c>
      <c r="B33" s="36">
        <v>2</v>
      </c>
      <c r="C33" s="56">
        <v>3306</v>
      </c>
      <c r="D33" s="51">
        <f>B33*C33</f>
        <v>6612</v>
      </c>
      <c r="E33" s="51">
        <f>D33*12</f>
        <v>79344</v>
      </c>
      <c r="F33" s="52" t="s">
        <v>541</v>
      </c>
    </row>
    <row r="34" spans="1:6" x14ac:dyDescent="0.25">
      <c r="A34" t="s">
        <v>498</v>
      </c>
      <c r="B34" s="36">
        <v>1</v>
      </c>
      <c r="C34" s="56">
        <v>3798</v>
      </c>
      <c r="D34" s="51">
        <f>B34*C34</f>
        <v>3798</v>
      </c>
      <c r="E34" s="51">
        <f>D34*12</f>
        <v>45576</v>
      </c>
      <c r="F34" s="52" t="s">
        <v>541</v>
      </c>
    </row>
    <row r="35" spans="1:6" x14ac:dyDescent="0.25">
      <c r="A35" s="42" t="s">
        <v>303</v>
      </c>
      <c r="B35" s="43">
        <f>SUM(B30:B34)</f>
        <v>14</v>
      </c>
      <c r="C35" s="44">
        <f>IFERROR(D35/B35,"")</f>
        <v>2663.2857142857142</v>
      </c>
      <c r="D35" s="44">
        <f>SUM(D30:D34)</f>
        <v>37286</v>
      </c>
      <c r="E35" s="44">
        <f>SUM(E30:E34)</f>
        <v>447432</v>
      </c>
    </row>
    <row r="37" spans="1:6" x14ac:dyDescent="0.25">
      <c r="A37" s="34" t="s">
        <v>304</v>
      </c>
      <c r="B37" s="35"/>
      <c r="C37" s="35"/>
      <c r="D37" s="35"/>
      <c r="E37" s="35"/>
      <c r="F37" s="35"/>
    </row>
    <row r="38" spans="1:6" x14ac:dyDescent="0.25">
      <c r="A38" s="45"/>
      <c r="B38" s="45" t="s">
        <v>305</v>
      </c>
      <c r="C38" s="45" t="s">
        <v>306</v>
      </c>
      <c r="D38" s="45"/>
      <c r="E38" s="45"/>
      <c r="F38" s="45" t="s">
        <v>307</v>
      </c>
    </row>
    <row r="39" spans="1:6" x14ac:dyDescent="0.25">
      <c r="A39" t="s">
        <v>308</v>
      </c>
      <c r="B39" s="51">
        <v>447401</v>
      </c>
      <c r="C39" s="31">
        <f>E35</f>
        <v>447432</v>
      </c>
      <c r="F39" s="26" t="s">
        <v>542</v>
      </c>
    </row>
    <row r="40" spans="1:6" x14ac:dyDescent="0.25">
      <c r="A40" t="s">
        <v>310</v>
      </c>
      <c r="B40" s="31">
        <v>1800</v>
      </c>
      <c r="C40" s="28">
        <v>1800</v>
      </c>
    </row>
    <row r="41" spans="1:6" x14ac:dyDescent="0.25">
      <c r="A41" s="42" t="s">
        <v>311</v>
      </c>
      <c r="B41" s="31">
        <f>B39+B40</f>
        <v>449201</v>
      </c>
      <c r="C41" s="31">
        <f>C39+C40</f>
        <v>449232</v>
      </c>
    </row>
    <row r="42" spans="1:6" x14ac:dyDescent="0.25">
      <c r="A42" t="s">
        <v>312</v>
      </c>
      <c r="B42" s="31">
        <f>-B39*0.03</f>
        <v>-13422.029999999999</v>
      </c>
      <c r="C42" s="31">
        <f>-C39*Assumptions!$B$3</f>
        <v>-13422.96</v>
      </c>
      <c r="F42" s="26" t="s">
        <v>499</v>
      </c>
    </row>
    <row r="43" spans="1:6" x14ac:dyDescent="0.25">
      <c r="A43" s="42" t="s">
        <v>314</v>
      </c>
      <c r="B43" s="44">
        <f>B41+B42</f>
        <v>435778.97</v>
      </c>
      <c r="C43" s="44">
        <f>C41+C42</f>
        <v>435809.04</v>
      </c>
    </row>
    <row r="45" spans="1:6" x14ac:dyDescent="0.25">
      <c r="A45" s="34" t="s">
        <v>315</v>
      </c>
      <c r="B45" s="35"/>
      <c r="C45" s="35"/>
      <c r="D45" s="35"/>
      <c r="E45" s="35"/>
      <c r="F45" s="35"/>
    </row>
    <row r="46" spans="1:6" x14ac:dyDescent="0.25">
      <c r="A46" s="45" t="s">
        <v>316</v>
      </c>
      <c r="B46" s="45" t="s">
        <v>305</v>
      </c>
      <c r="C46" s="45" t="s">
        <v>317</v>
      </c>
      <c r="D46" s="45" t="s">
        <v>306</v>
      </c>
      <c r="E46" s="45" t="s">
        <v>318</v>
      </c>
      <c r="F46" s="45" t="s">
        <v>307</v>
      </c>
    </row>
    <row r="47" spans="1:6" x14ac:dyDescent="0.25">
      <c r="A47" t="s">
        <v>319</v>
      </c>
      <c r="B47" s="51">
        <v>59866</v>
      </c>
      <c r="C47" s="31">
        <f>B22*Assumptions!$B$15</f>
        <v>63687.5</v>
      </c>
      <c r="D47" s="46">
        <f>C47</f>
        <v>63687.5</v>
      </c>
      <c r="E47" s="31">
        <f t="shared" ref="E47:E55" si="0">IF(ISNUMBER(B47),D47-B47,"")</f>
        <v>3821.5</v>
      </c>
      <c r="F47" s="26" t="s">
        <v>358</v>
      </c>
    </row>
    <row r="48" spans="1:6" x14ac:dyDescent="0.25">
      <c r="A48" t="s">
        <v>321</v>
      </c>
      <c r="B48" s="51">
        <v>12392</v>
      </c>
      <c r="C48" s="31">
        <f>B7*Assumptions!$B$5+B8*Assumptions!$B$6</f>
        <v>12332</v>
      </c>
      <c r="D48" s="46">
        <f t="shared" ref="D48:D54" si="1">IF(ISNUMBER(B48),MAX(B48,C48),C48)</f>
        <v>12392</v>
      </c>
      <c r="E48" s="31">
        <f t="shared" si="0"/>
        <v>0</v>
      </c>
      <c r="F48" s="26" t="s">
        <v>322</v>
      </c>
    </row>
    <row r="49" spans="1:6" x14ac:dyDescent="0.25">
      <c r="A49" t="s">
        <v>323</v>
      </c>
      <c r="B49" s="51">
        <v>17896</v>
      </c>
      <c r="C49" s="31">
        <f>C43*Assumptions!$B$4</f>
        <v>21790.452000000001</v>
      </c>
      <c r="D49" s="46">
        <f t="shared" si="1"/>
        <v>21790.452000000001</v>
      </c>
      <c r="E49" s="31">
        <f t="shared" si="0"/>
        <v>3894.4520000000011</v>
      </c>
      <c r="F49" s="26" t="s">
        <v>324</v>
      </c>
    </row>
    <row r="50" spans="1:6" x14ac:dyDescent="0.25">
      <c r="A50" t="s">
        <v>325</v>
      </c>
      <c r="B50" s="51">
        <v>7000</v>
      </c>
      <c r="C50" s="31">
        <f>B7*Assumptions!$B$7</f>
        <v>16800</v>
      </c>
      <c r="D50" s="46">
        <f t="shared" si="1"/>
        <v>16800</v>
      </c>
      <c r="E50" s="31">
        <f t="shared" si="0"/>
        <v>9800</v>
      </c>
      <c r="F50" s="26" t="s">
        <v>326</v>
      </c>
    </row>
    <row r="51" spans="1:6" x14ac:dyDescent="0.25">
      <c r="A51" t="s">
        <v>327</v>
      </c>
      <c r="B51" s="51">
        <v>15600</v>
      </c>
      <c r="C51" s="31">
        <f>B7*Assumptions!$B$9</f>
        <v>21000</v>
      </c>
      <c r="D51" s="46">
        <f t="shared" si="1"/>
        <v>21000</v>
      </c>
      <c r="E51" s="31">
        <f t="shared" si="0"/>
        <v>5400</v>
      </c>
      <c r="F51" s="26" t="s">
        <v>500</v>
      </c>
    </row>
    <row r="52" spans="1:6" x14ac:dyDescent="0.25">
      <c r="A52" t="s">
        <v>329</v>
      </c>
      <c r="B52" s="51">
        <v>4400</v>
      </c>
      <c r="C52" s="31">
        <f>B7*Assumptions!$B$12</f>
        <v>5600</v>
      </c>
      <c r="D52" s="46">
        <f t="shared" si="1"/>
        <v>5600</v>
      </c>
      <c r="E52" s="31">
        <f t="shared" si="0"/>
        <v>1200</v>
      </c>
      <c r="F52" s="26" t="s">
        <v>330</v>
      </c>
    </row>
    <row r="53" spans="1:6" x14ac:dyDescent="0.25">
      <c r="A53" t="s">
        <v>388</v>
      </c>
      <c r="B53" s="51">
        <v>2500</v>
      </c>
      <c r="C53" s="31">
        <f>B7*Assumptions!$B$13</f>
        <v>3500</v>
      </c>
      <c r="D53" s="46">
        <f t="shared" si="1"/>
        <v>3500</v>
      </c>
      <c r="E53" s="31">
        <f t="shared" si="0"/>
        <v>1000</v>
      </c>
      <c r="F53" s="26" t="s">
        <v>501</v>
      </c>
    </row>
    <row r="54" spans="1:6" x14ac:dyDescent="0.25">
      <c r="A54" t="s">
        <v>333</v>
      </c>
      <c r="B54" s="51"/>
      <c r="C54" s="31">
        <f>B7*Assumptions!$B$14</f>
        <v>4200</v>
      </c>
      <c r="D54" s="46">
        <f t="shared" si="1"/>
        <v>4200</v>
      </c>
      <c r="E54" s="31" t="str">
        <f t="shared" si="0"/>
        <v/>
      </c>
      <c r="F54" s="26" t="s">
        <v>330</v>
      </c>
    </row>
    <row r="55" spans="1:6" x14ac:dyDescent="0.25">
      <c r="A55" s="42" t="s">
        <v>334</v>
      </c>
      <c r="B55" s="44">
        <f>SUM(B47:B54)</f>
        <v>119654</v>
      </c>
      <c r="C55" s="44">
        <f>SUM(C47:C54)</f>
        <v>148909.95199999999</v>
      </c>
      <c r="D55" s="44">
        <f>SUM(D47:D54)</f>
        <v>148969.95199999999</v>
      </c>
      <c r="E55" s="44">
        <f t="shared" si="0"/>
        <v>29315.95199999999</v>
      </c>
      <c r="F55" s="26" t="s">
        <v>543</v>
      </c>
    </row>
    <row r="56" spans="1:6" x14ac:dyDescent="0.25">
      <c r="A56" t="s">
        <v>336</v>
      </c>
      <c r="B56" s="31">
        <f>IFERROR(B55/B7,"")</f>
        <v>8546.7142857142862</v>
      </c>
      <c r="C56" s="31">
        <f>IFERROR(C55/B7,"")</f>
        <v>10636.425142857142</v>
      </c>
      <c r="D56" s="31">
        <f>IFERROR(D55/B7,"")</f>
        <v>10640.710857142856</v>
      </c>
    </row>
    <row r="57" spans="1:6" x14ac:dyDescent="0.25">
      <c r="A57" t="s">
        <v>337</v>
      </c>
      <c r="B57" s="39">
        <f>IFERROR(B55/B43,"")</f>
        <v>0.2745749754743787</v>
      </c>
      <c r="C57" s="39">
        <f>IFERROR(C55/C43,"")</f>
        <v>0.34168623945937421</v>
      </c>
      <c r="D57" s="39">
        <f>IF(C39&gt;0,IFERROR(D55/C43,""),"")</f>
        <v>0.34182391443738752</v>
      </c>
    </row>
    <row r="58" spans="1:6" x14ac:dyDescent="0.25">
      <c r="A58" s="42" t="s">
        <v>18</v>
      </c>
      <c r="B58" s="47" t="str">
        <f>IF(ISNUMBER(B55),IF(D55&gt;B55*(1+Assumptions!$B$24),"OM EXPENSES LIGHT","OM expenses reasonable"),"OM expenses not published")</f>
        <v>OM EXPENSES LIGHT</v>
      </c>
    </row>
    <row r="60" spans="1:6" x14ac:dyDescent="0.25">
      <c r="A60" s="34" t="s">
        <v>338</v>
      </c>
      <c r="B60" s="35"/>
      <c r="C60" s="35"/>
      <c r="D60" s="35"/>
      <c r="E60" s="35"/>
      <c r="F60" s="35"/>
    </row>
    <row r="61" spans="1:6" x14ac:dyDescent="0.25">
      <c r="A61" s="45"/>
      <c r="B61" s="45" t="s">
        <v>305</v>
      </c>
      <c r="C61" s="45" t="s">
        <v>306</v>
      </c>
      <c r="D61" s="45"/>
      <c r="E61" s="45"/>
      <c r="F61" s="45" t="s">
        <v>307</v>
      </c>
    </row>
    <row r="62" spans="1:6" x14ac:dyDescent="0.25">
      <c r="A62" s="42" t="s">
        <v>339</v>
      </c>
      <c r="B62" s="44">
        <f>B43-B55</f>
        <v>316124.96999999997</v>
      </c>
      <c r="C62" s="44">
        <f>IF(C39&gt;0,C43-D55,"")</f>
        <v>286839.08799999999</v>
      </c>
      <c r="F62" t="s">
        <v>502</v>
      </c>
    </row>
    <row r="63" spans="1:6" x14ac:dyDescent="0.25">
      <c r="A63" s="42" t="s">
        <v>340</v>
      </c>
      <c r="B63" s="39">
        <f>IFERROR(B62/B22,"")</f>
        <v>6.204611776251226E-2</v>
      </c>
      <c r="C63" s="39">
        <f>IF(C62="","",IFERROR(C62/B22,""))</f>
        <v>5.6298152698724235E-2</v>
      </c>
      <c r="F63" s="26" t="s">
        <v>341</v>
      </c>
    </row>
    <row r="64" spans="1:6" x14ac:dyDescent="0.25">
      <c r="A64" t="s">
        <v>342</v>
      </c>
      <c r="B64" s="40">
        <f>IFERROR(B22/B39,"")</f>
        <v>11.387994215480072</v>
      </c>
      <c r="C64" s="40">
        <f>IF(C39&gt;0,IFERROR(B22/C39,""),"")</f>
        <v>11.387205206601227</v>
      </c>
    </row>
    <row r="65" spans="1:6" x14ac:dyDescent="0.25">
      <c r="A65" t="s">
        <v>343</v>
      </c>
      <c r="B65" s="31">
        <f>IFERROR(B62/B7,"")</f>
        <v>22580.355</v>
      </c>
      <c r="C65" s="31">
        <f>IF(C62="","",IFERROR(C62/B7,""))</f>
        <v>20488.506285714284</v>
      </c>
    </row>
    <row r="67" spans="1:6" x14ac:dyDescent="0.25">
      <c r="A67" s="34" t="s">
        <v>344</v>
      </c>
      <c r="B67" s="35"/>
      <c r="C67" s="35"/>
      <c r="D67" s="35"/>
      <c r="E67" s="35"/>
      <c r="F67" s="35"/>
    </row>
    <row r="68" spans="1:6" x14ac:dyDescent="0.25">
      <c r="A68" t="s">
        <v>345</v>
      </c>
      <c r="B68" s="31">
        <f>IFERROR(B22*Assumptions!$B$20,"")</f>
        <v>3057000</v>
      </c>
    </row>
    <row r="69" spans="1:6" x14ac:dyDescent="0.25">
      <c r="A69" t="s">
        <v>346</v>
      </c>
      <c r="B69" s="31">
        <f>IF(C62="","",IFERROR(PV(Assumptions!$B$22/12,Assumptions!$B$23*12,-C62/Assumptions!$B$21/12),""))</f>
        <v>3105744.9513224531</v>
      </c>
    </row>
    <row r="70" spans="1:6" x14ac:dyDescent="0.25">
      <c r="A70" s="42" t="s">
        <v>347</v>
      </c>
      <c r="B70" s="31">
        <f>IFERROR(MIN(B68,B69),"")</f>
        <v>3057000</v>
      </c>
    </row>
    <row r="71" spans="1:6" x14ac:dyDescent="0.25">
      <c r="A71" t="s">
        <v>348</v>
      </c>
      <c r="B71" s="31">
        <f>IFERROR(B22-B70,"")</f>
        <v>2038000</v>
      </c>
    </row>
    <row r="72" spans="1:6" x14ac:dyDescent="0.25">
      <c r="A72" t="s">
        <v>349</v>
      </c>
      <c r="B72" s="31">
        <f>IFERROR(-PMT(Assumptions!$B$22/12,Assumptions!$B$23*12,B70)*12,"")</f>
        <v>225869.69780441746</v>
      </c>
    </row>
    <row r="73" spans="1:6" x14ac:dyDescent="0.25">
      <c r="A73" t="s">
        <v>350</v>
      </c>
      <c r="B73" s="40">
        <f>IFERROR(C62/B72,"")</f>
        <v>1.269931694194661</v>
      </c>
    </row>
    <row r="74" spans="1:6" x14ac:dyDescent="0.25">
      <c r="A74" t="s">
        <v>351</v>
      </c>
      <c r="B74" s="31">
        <f>IFERROR(C62-B72,"")</f>
        <v>60969.390195582528</v>
      </c>
    </row>
    <row r="75" spans="1:6" x14ac:dyDescent="0.25">
      <c r="A75" t="s">
        <v>352</v>
      </c>
      <c r="B75" s="39">
        <f>IFERROR(B74/B71,"")</f>
        <v>2.9916285670060123E-2</v>
      </c>
    </row>
    <row r="77" spans="1:6" x14ac:dyDescent="0.25">
      <c r="A77" s="26" t="s">
        <v>353</v>
      </c>
    </row>
  </sheetData>
  <hyperlinks>
    <hyperlink ref="A3" r:id="rId1" xr:uid="{00000000-0004-0000-0300-000000000000}"/>
  </hyperlinks>
  <pageMargins left="0.75" right="0.75" top="1" bottom="1" header="0.5" footer="0.5"/>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76"/>
  <sheetViews>
    <sheetView showGridLines="0" workbookViewId="0">
      <pane ySplit="5" topLeftCell="A6" activePane="bottomLeft" state="frozen"/>
      <selection pane="bottomLeft"/>
    </sheetView>
  </sheetViews>
  <sheetFormatPr defaultRowHeight="15" x14ac:dyDescent="0.25"/>
  <cols>
    <col min="1" max="1" width="38" customWidth="1"/>
    <col min="2" max="5" width="16" customWidth="1"/>
    <col min="6" max="6" width="48" customWidth="1"/>
    <col min="7" max="7" width="12" customWidth="1"/>
  </cols>
  <sheetData>
    <row r="1" spans="1:3" ht="19.5" x14ac:dyDescent="0.3">
      <c r="A1" s="1" t="s">
        <v>47</v>
      </c>
    </row>
    <row r="2" spans="1:3" x14ac:dyDescent="0.25">
      <c r="A2" s="32" t="s">
        <v>270</v>
      </c>
    </row>
    <row r="3" spans="1:3" x14ac:dyDescent="0.25">
      <c r="A3" s="33" t="s">
        <v>271</v>
      </c>
      <c r="B3" s="26" t="s">
        <v>272</v>
      </c>
    </row>
    <row r="4" spans="1:3" x14ac:dyDescent="0.25">
      <c r="A4" s="47" t="s">
        <v>359</v>
      </c>
    </row>
    <row r="6" spans="1:3" x14ac:dyDescent="0.25">
      <c r="A6" s="34" t="s">
        <v>273</v>
      </c>
      <c r="B6" s="35"/>
      <c r="C6" s="35"/>
    </row>
    <row r="7" spans="1:3" x14ac:dyDescent="0.25">
      <c r="A7" t="s">
        <v>7</v>
      </c>
      <c r="B7" s="36">
        <v>15</v>
      </c>
    </row>
    <row r="8" spans="1:3" x14ac:dyDescent="0.25">
      <c r="A8" t="s">
        <v>274</v>
      </c>
      <c r="B8" s="36">
        <v>11850</v>
      </c>
    </row>
    <row r="9" spans="1:3" x14ac:dyDescent="0.25">
      <c r="A9" t="s">
        <v>10</v>
      </c>
      <c r="B9" s="36">
        <v>14810</v>
      </c>
    </row>
    <row r="10" spans="1:3" x14ac:dyDescent="0.25">
      <c r="A10" t="s">
        <v>275</v>
      </c>
      <c r="B10" s="37">
        <v>0.34</v>
      </c>
    </row>
    <row r="11" spans="1:3" x14ac:dyDescent="0.25">
      <c r="A11" t="s">
        <v>8</v>
      </c>
      <c r="B11">
        <v>1937</v>
      </c>
    </row>
    <row r="12" spans="1:3" x14ac:dyDescent="0.25">
      <c r="A12" t="s">
        <v>276</v>
      </c>
      <c r="B12" t="s">
        <v>355</v>
      </c>
    </row>
    <row r="13" spans="1:3" x14ac:dyDescent="0.25">
      <c r="A13" t="s">
        <v>278</v>
      </c>
      <c r="B13" t="s">
        <v>360</v>
      </c>
    </row>
    <row r="14" spans="1:3" x14ac:dyDescent="0.25">
      <c r="A14" t="s">
        <v>280</v>
      </c>
      <c r="B14" t="s">
        <v>48</v>
      </c>
    </row>
    <row r="15" spans="1:3" x14ac:dyDescent="0.25">
      <c r="A15" t="s">
        <v>281</v>
      </c>
      <c r="B15" t="s">
        <v>361</v>
      </c>
    </row>
    <row r="16" spans="1:3" x14ac:dyDescent="0.25">
      <c r="A16" t="s">
        <v>283</v>
      </c>
      <c r="B16" s="31">
        <v>2731000</v>
      </c>
    </row>
    <row r="17" spans="1:6" x14ac:dyDescent="0.25">
      <c r="A17" t="s">
        <v>284</v>
      </c>
      <c r="B17" t="s">
        <v>49</v>
      </c>
    </row>
    <row r="18" spans="1:6" x14ac:dyDescent="0.25">
      <c r="A18" t="s">
        <v>285</v>
      </c>
      <c r="B18" t="s">
        <v>50</v>
      </c>
    </row>
    <row r="19" spans="1:6" x14ac:dyDescent="0.25">
      <c r="A19" t="s">
        <v>286</v>
      </c>
      <c r="B19" t="s">
        <v>51</v>
      </c>
    </row>
    <row r="21" spans="1:6" x14ac:dyDescent="0.25">
      <c r="A21" s="34" t="s">
        <v>287</v>
      </c>
      <c r="B21" s="35"/>
      <c r="C21" s="35"/>
    </row>
    <row r="22" spans="1:6" x14ac:dyDescent="0.25">
      <c r="A22" t="s">
        <v>11</v>
      </c>
      <c r="B22" s="28">
        <v>8500000</v>
      </c>
    </row>
    <row r="23" spans="1:6" x14ac:dyDescent="0.25">
      <c r="A23" t="s">
        <v>288</v>
      </c>
      <c r="B23" s="31">
        <f>IFERROR(B22/B7,"")</f>
        <v>566666.66666666663</v>
      </c>
    </row>
    <row r="24" spans="1:6" x14ac:dyDescent="0.25">
      <c r="A24" t="s">
        <v>289</v>
      </c>
      <c r="B24" s="38">
        <f>IFERROR(B22/B8,"")</f>
        <v>717.29957805907168</v>
      </c>
    </row>
    <row r="25" spans="1:6" x14ac:dyDescent="0.25">
      <c r="A25" t="s">
        <v>290</v>
      </c>
      <c r="B25" s="39">
        <v>6.0400000000000002E-2</v>
      </c>
    </row>
    <row r="26" spans="1:6" x14ac:dyDescent="0.25">
      <c r="A26" t="s">
        <v>291</v>
      </c>
      <c r="B26" s="40">
        <v>13.77</v>
      </c>
    </row>
    <row r="28" spans="1:6" x14ac:dyDescent="0.25">
      <c r="A28" s="34" t="s">
        <v>292</v>
      </c>
      <c r="B28" s="35"/>
      <c r="C28" s="35"/>
      <c r="D28" s="35"/>
      <c r="E28" s="35"/>
      <c r="F28" s="35"/>
    </row>
    <row r="29" spans="1:6" x14ac:dyDescent="0.25">
      <c r="A29" s="41" t="s">
        <v>293</v>
      </c>
      <c r="B29" s="41" t="s">
        <v>294</v>
      </c>
      <c r="C29" s="41" t="s">
        <v>295</v>
      </c>
      <c r="D29" s="41" t="s">
        <v>296</v>
      </c>
      <c r="E29" s="41" t="s">
        <v>297</v>
      </c>
      <c r="F29" s="41" t="s">
        <v>298</v>
      </c>
    </row>
    <row r="30" spans="1:6" x14ac:dyDescent="0.25">
      <c r="A30" t="s">
        <v>257</v>
      </c>
      <c r="B30" s="36">
        <v>4</v>
      </c>
      <c r="C30" s="48">
        <v>2316</v>
      </c>
      <c r="D30" s="31">
        <f>B30*C30</f>
        <v>9264</v>
      </c>
      <c r="E30" s="31">
        <f>D30*12</f>
        <v>111168</v>
      </c>
      <c r="F30" s="26" t="s">
        <v>45</v>
      </c>
    </row>
    <row r="31" spans="1:6" x14ac:dyDescent="0.25">
      <c r="A31" t="s">
        <v>302</v>
      </c>
      <c r="B31" s="36">
        <v>6</v>
      </c>
      <c r="C31" s="48">
        <v>3308</v>
      </c>
      <c r="D31" s="31">
        <f>B31*C31</f>
        <v>19848</v>
      </c>
      <c r="E31" s="31">
        <f>D31*12</f>
        <v>238176</v>
      </c>
      <c r="F31" s="26" t="s">
        <v>45</v>
      </c>
    </row>
    <row r="32" spans="1:6" x14ac:dyDescent="0.25">
      <c r="A32" t="s">
        <v>301</v>
      </c>
      <c r="B32" s="36">
        <v>4</v>
      </c>
      <c r="C32" s="48">
        <v>4466</v>
      </c>
      <c r="D32" s="31">
        <f>B32*C32</f>
        <v>17864</v>
      </c>
      <c r="E32" s="31">
        <f>D32*12</f>
        <v>214368</v>
      </c>
      <c r="F32" s="26" t="s">
        <v>45</v>
      </c>
    </row>
    <row r="33" spans="1:6" x14ac:dyDescent="0.25">
      <c r="A33" t="s">
        <v>299</v>
      </c>
      <c r="B33" s="36">
        <v>1</v>
      </c>
      <c r="C33" s="48">
        <v>4466</v>
      </c>
      <c r="D33" s="31">
        <f>B33*C33</f>
        <v>4466</v>
      </c>
      <c r="E33" s="31">
        <f>D33*12</f>
        <v>53592</v>
      </c>
      <c r="F33" s="26" t="s">
        <v>45</v>
      </c>
    </row>
    <row r="34" spans="1:6" x14ac:dyDescent="0.25">
      <c r="A34" s="42" t="s">
        <v>303</v>
      </c>
      <c r="B34" s="43">
        <f>SUM(B30:B33)</f>
        <v>15</v>
      </c>
      <c r="C34" s="44">
        <f>IFERROR(D34/B34,"")</f>
        <v>3429.4666666666667</v>
      </c>
      <c r="D34" s="44">
        <f>SUM(D30:D33)</f>
        <v>51442</v>
      </c>
      <c r="E34" s="44">
        <f>SUM(E30:E33)</f>
        <v>617304</v>
      </c>
    </row>
    <row r="36" spans="1:6" x14ac:dyDescent="0.25">
      <c r="A36" s="34" t="s">
        <v>304</v>
      </c>
      <c r="B36" s="35"/>
      <c r="C36" s="35"/>
      <c r="D36" s="35"/>
      <c r="E36" s="35"/>
      <c r="F36" s="35"/>
    </row>
    <row r="37" spans="1:6" x14ac:dyDescent="0.25">
      <c r="A37" s="45"/>
      <c r="B37" s="45" t="s">
        <v>305</v>
      </c>
      <c r="C37" s="45" t="s">
        <v>306</v>
      </c>
      <c r="D37" s="45"/>
      <c r="E37" s="45"/>
      <c r="F37" s="45" t="s">
        <v>307</v>
      </c>
    </row>
    <row r="38" spans="1:6" x14ac:dyDescent="0.25">
      <c r="A38" t="s">
        <v>308</v>
      </c>
      <c r="B38" s="31">
        <v>617283.95061728393</v>
      </c>
      <c r="C38" s="31">
        <f>E34</f>
        <v>617304</v>
      </c>
      <c r="F38" s="26" t="s">
        <v>309</v>
      </c>
    </row>
    <row r="39" spans="1:6" x14ac:dyDescent="0.25">
      <c r="A39" t="s">
        <v>310</v>
      </c>
      <c r="B39" s="31">
        <v>0</v>
      </c>
      <c r="C39" s="28">
        <v>0</v>
      </c>
    </row>
    <row r="40" spans="1:6" x14ac:dyDescent="0.25">
      <c r="A40" s="42" t="s">
        <v>311</v>
      </c>
      <c r="B40" s="31">
        <f>B38+B39</f>
        <v>617283.95061728393</v>
      </c>
      <c r="C40" s="31">
        <f>C38+C39</f>
        <v>617304</v>
      </c>
    </row>
    <row r="41" spans="1:6" x14ac:dyDescent="0.25">
      <c r="A41" t="s">
        <v>312</v>
      </c>
      <c r="B41" s="31">
        <f>-B38*0.03</f>
        <v>-18518.518518518518</v>
      </c>
      <c r="C41" s="31">
        <f>-C38*Assumptions!$B$3</f>
        <v>-18519.12</v>
      </c>
      <c r="F41" s="26" t="s">
        <v>313</v>
      </c>
    </row>
    <row r="42" spans="1:6" x14ac:dyDescent="0.25">
      <c r="A42" s="42" t="s">
        <v>314</v>
      </c>
      <c r="B42" s="44">
        <f>B40+B41</f>
        <v>598765.43209876539</v>
      </c>
      <c r="C42" s="44">
        <f>C40+C41</f>
        <v>598784.88</v>
      </c>
    </row>
    <row r="44" spans="1:6" x14ac:dyDescent="0.25">
      <c r="A44" s="34" t="s">
        <v>315</v>
      </c>
      <c r="B44" s="35"/>
      <c r="C44" s="35"/>
      <c r="D44" s="35"/>
      <c r="E44" s="35"/>
      <c r="F44" s="35"/>
    </row>
    <row r="45" spans="1:6" x14ac:dyDescent="0.25">
      <c r="A45" s="45" t="s">
        <v>316</v>
      </c>
      <c r="B45" s="45" t="s">
        <v>305</v>
      </c>
      <c r="C45" s="45" t="s">
        <v>317</v>
      </c>
      <c r="D45" s="45" t="s">
        <v>306</v>
      </c>
      <c r="E45" s="45" t="s">
        <v>318</v>
      </c>
      <c r="F45" s="45" t="s">
        <v>307</v>
      </c>
    </row>
    <row r="46" spans="1:6" x14ac:dyDescent="0.25">
      <c r="A46" t="s">
        <v>319</v>
      </c>
      <c r="B46" s="31"/>
      <c r="C46" s="31">
        <f>B22*Assumptions!$B$16</f>
        <v>97750</v>
      </c>
      <c r="D46" s="46">
        <f>C46</f>
        <v>97750</v>
      </c>
      <c r="E46" s="31" t="str">
        <f t="shared" ref="E46:E54" si="0">IF(ISNUMBER(B46),D46-B46,"")</f>
        <v/>
      </c>
      <c r="F46" s="26" t="s">
        <v>320</v>
      </c>
    </row>
    <row r="47" spans="1:6" x14ac:dyDescent="0.25">
      <c r="A47" t="s">
        <v>321</v>
      </c>
      <c r="B47" s="31"/>
      <c r="C47" s="31">
        <f>B7*Assumptions!$B$5+B8*Assumptions!$B$6</f>
        <v>14850</v>
      </c>
      <c r="D47" s="46">
        <f t="shared" ref="D47:D53" si="1">IF(ISNUMBER(B47),MAX(B47,C47),C47)</f>
        <v>14850</v>
      </c>
      <c r="E47" s="31" t="str">
        <f t="shared" si="0"/>
        <v/>
      </c>
      <c r="F47" s="26" t="s">
        <v>322</v>
      </c>
    </row>
    <row r="48" spans="1:6" x14ac:dyDescent="0.25">
      <c r="A48" t="s">
        <v>323</v>
      </c>
      <c r="B48" s="31"/>
      <c r="C48" s="31">
        <f>C42*Assumptions!$B$4</f>
        <v>29939.244000000002</v>
      </c>
      <c r="D48" s="46">
        <f t="shared" si="1"/>
        <v>29939.244000000002</v>
      </c>
      <c r="E48" s="31" t="str">
        <f t="shared" si="0"/>
        <v/>
      </c>
      <c r="F48" s="26" t="s">
        <v>324</v>
      </c>
    </row>
    <row r="49" spans="1:6" x14ac:dyDescent="0.25">
      <c r="A49" t="s">
        <v>325</v>
      </c>
      <c r="B49" s="31"/>
      <c r="C49" s="31">
        <f>B7*Assumptions!$B$7</f>
        <v>18000</v>
      </c>
      <c r="D49" s="46">
        <f t="shared" si="1"/>
        <v>18000</v>
      </c>
      <c r="E49" s="31" t="str">
        <f t="shared" si="0"/>
        <v/>
      </c>
      <c r="F49" s="26" t="s">
        <v>326</v>
      </c>
    </row>
    <row r="50" spans="1:6" x14ac:dyDescent="0.25">
      <c r="A50" t="s">
        <v>327</v>
      </c>
      <c r="B50" s="31"/>
      <c r="C50" s="31">
        <f>B7*Assumptions!$B$10</f>
        <v>27000</v>
      </c>
      <c r="D50" s="46">
        <f t="shared" si="1"/>
        <v>27000</v>
      </c>
      <c r="E50" s="31" t="str">
        <f t="shared" si="0"/>
        <v/>
      </c>
      <c r="F50" s="26" t="s">
        <v>328</v>
      </c>
    </row>
    <row r="51" spans="1:6" x14ac:dyDescent="0.25">
      <c r="A51" t="s">
        <v>329</v>
      </c>
      <c r="B51" s="31"/>
      <c r="C51" s="31">
        <f>B7*Assumptions!$B$12</f>
        <v>6000</v>
      </c>
      <c r="D51" s="46">
        <f t="shared" si="1"/>
        <v>6000</v>
      </c>
      <c r="E51" s="31" t="str">
        <f t="shared" si="0"/>
        <v/>
      </c>
      <c r="F51" s="26" t="s">
        <v>330</v>
      </c>
    </row>
    <row r="52" spans="1:6" x14ac:dyDescent="0.25">
      <c r="A52" t="s">
        <v>331</v>
      </c>
      <c r="B52" s="31"/>
      <c r="C52" s="31">
        <f>B7*Assumptions!$B$13</f>
        <v>3750</v>
      </c>
      <c r="D52" s="46">
        <f t="shared" si="1"/>
        <v>3750</v>
      </c>
      <c r="E52" s="31" t="str">
        <f t="shared" si="0"/>
        <v/>
      </c>
      <c r="F52" s="26" t="s">
        <v>332</v>
      </c>
    </row>
    <row r="53" spans="1:6" x14ac:dyDescent="0.25">
      <c r="A53" t="s">
        <v>333</v>
      </c>
      <c r="B53" s="31"/>
      <c r="C53" s="31">
        <f>B7*Assumptions!$B$14</f>
        <v>4500</v>
      </c>
      <c r="D53" s="46">
        <f t="shared" si="1"/>
        <v>4500</v>
      </c>
      <c r="E53" s="31" t="str">
        <f t="shared" si="0"/>
        <v/>
      </c>
      <c r="F53" s="26" t="s">
        <v>330</v>
      </c>
    </row>
    <row r="54" spans="1:6" x14ac:dyDescent="0.25">
      <c r="A54" s="42" t="s">
        <v>334</v>
      </c>
      <c r="B54" s="44">
        <f>B42-B22*B25</f>
        <v>85365.432098765392</v>
      </c>
      <c r="C54" s="44">
        <f>SUM(C46:C53)</f>
        <v>201789.24400000001</v>
      </c>
      <c r="D54" s="44">
        <f>SUM(D46:D53)</f>
        <v>201789.24400000001</v>
      </c>
      <c r="E54" s="44">
        <f t="shared" si="0"/>
        <v>116423.81190123461</v>
      </c>
      <c r="F54" s="26" t="s">
        <v>335</v>
      </c>
    </row>
    <row r="55" spans="1:6" x14ac:dyDescent="0.25">
      <c r="A55" t="s">
        <v>336</v>
      </c>
      <c r="B55" s="31">
        <f>IFERROR(B54/B7,"")</f>
        <v>5691.0288065843597</v>
      </c>
      <c r="C55" s="31">
        <f>IFERROR(C54/B7,"")</f>
        <v>13452.616266666668</v>
      </c>
      <c r="D55" s="31">
        <f>IFERROR(D54/B7,"")</f>
        <v>13452.616266666668</v>
      </c>
    </row>
    <row r="56" spans="1:6" x14ac:dyDescent="0.25">
      <c r="A56" t="s">
        <v>337</v>
      </c>
      <c r="B56" s="39">
        <f>IFERROR(B54/B42,"")</f>
        <v>0.14256907216494841</v>
      </c>
      <c r="C56" s="39">
        <f>IFERROR(C54/C42,"")</f>
        <v>0.33699789480322218</v>
      </c>
      <c r="D56" s="39">
        <f>IF(C38&gt;0,IFERROR(D54/C42,""),"")</f>
        <v>0.33699789480322218</v>
      </c>
    </row>
    <row r="57" spans="1:6" x14ac:dyDescent="0.25">
      <c r="A57" s="42" t="s">
        <v>18</v>
      </c>
      <c r="B57" s="47" t="str">
        <f>IF(ISNUMBER(B54),IF(D54&gt;B54*(1+Assumptions!$B$24),"OM EXPENSES LIGHT","OM expenses reasonable"),"OM expenses not published")</f>
        <v>OM EXPENSES LIGHT</v>
      </c>
    </row>
    <row r="59" spans="1:6" x14ac:dyDescent="0.25">
      <c r="A59" s="34" t="s">
        <v>338</v>
      </c>
      <c r="B59" s="35"/>
      <c r="C59" s="35"/>
      <c r="D59" s="35"/>
      <c r="E59" s="35"/>
      <c r="F59" s="35"/>
    </row>
    <row r="60" spans="1:6" x14ac:dyDescent="0.25">
      <c r="A60" s="45"/>
      <c r="B60" s="45" t="s">
        <v>305</v>
      </c>
      <c r="C60" s="45" t="s">
        <v>306</v>
      </c>
      <c r="D60" s="45"/>
      <c r="E60" s="45"/>
      <c r="F60" s="45" t="s">
        <v>307</v>
      </c>
    </row>
    <row r="61" spans="1:6" x14ac:dyDescent="0.25">
      <c r="A61" s="42" t="s">
        <v>339</v>
      </c>
      <c r="B61" s="44">
        <f>B42-B54</f>
        <v>513400</v>
      </c>
      <c r="C61" s="44">
        <f>IF(C38&gt;0,C42-D54,"")</f>
        <v>396995.636</v>
      </c>
    </row>
    <row r="62" spans="1:6" x14ac:dyDescent="0.25">
      <c r="A62" s="42" t="s">
        <v>340</v>
      </c>
      <c r="B62" s="39">
        <f>IFERROR(B61/B22,"")</f>
        <v>6.0400000000000002E-2</v>
      </c>
      <c r="C62" s="39">
        <f>IF(C61="","",IFERROR(C61/B22,""))</f>
        <v>4.6705368941176467E-2</v>
      </c>
      <c r="F62" s="26" t="s">
        <v>341</v>
      </c>
    </row>
    <row r="63" spans="1:6" x14ac:dyDescent="0.25">
      <c r="A63" t="s">
        <v>342</v>
      </c>
      <c r="B63" s="40">
        <f>IFERROR(B22/B38,"")</f>
        <v>13.77</v>
      </c>
      <c r="C63" s="40">
        <f>IF(C38&gt;0,IFERROR(B22/C38,""),"")</f>
        <v>13.769552764926194</v>
      </c>
    </row>
    <row r="64" spans="1:6" x14ac:dyDescent="0.25">
      <c r="A64" t="s">
        <v>343</v>
      </c>
      <c r="B64" s="31">
        <f>IFERROR(B61/B7,"")</f>
        <v>34226.666666666664</v>
      </c>
      <c r="C64" s="31">
        <f>IF(C61="","",IFERROR(C61/B7,""))</f>
        <v>26466.375733333334</v>
      </c>
    </row>
    <row r="66" spans="1:6" x14ac:dyDescent="0.25">
      <c r="A66" s="34" t="s">
        <v>344</v>
      </c>
      <c r="B66" s="35"/>
      <c r="C66" s="35"/>
      <c r="D66" s="35"/>
      <c r="E66" s="35"/>
      <c r="F66" s="35"/>
    </row>
    <row r="67" spans="1:6" x14ac:dyDescent="0.25">
      <c r="A67" t="s">
        <v>345</v>
      </c>
      <c r="B67" s="31">
        <f>IFERROR(B22*Assumptions!$B$20,"")</f>
        <v>5100000</v>
      </c>
    </row>
    <row r="68" spans="1:6" x14ac:dyDescent="0.25">
      <c r="A68" t="s">
        <v>346</v>
      </c>
      <c r="B68" s="31">
        <f>IF(C61="","",IFERROR(PV(Assumptions!$B$22/12,Assumptions!$B$23*12,-C61/Assumptions!$B$21/12),""))</f>
        <v>4298462.949387311</v>
      </c>
    </row>
    <row r="69" spans="1:6" x14ac:dyDescent="0.25">
      <c r="A69" s="42" t="s">
        <v>347</v>
      </c>
      <c r="B69" s="31">
        <f>IFERROR(MIN(B67,B68),"")</f>
        <v>4298462.949387311</v>
      </c>
    </row>
    <row r="70" spans="1:6" x14ac:dyDescent="0.25">
      <c r="A70" t="s">
        <v>348</v>
      </c>
      <c r="B70" s="31">
        <f>IFERROR(B22-B69,"")</f>
        <v>4201537.050612689</v>
      </c>
    </row>
    <row r="71" spans="1:6" x14ac:dyDescent="0.25">
      <c r="A71" t="s">
        <v>349</v>
      </c>
      <c r="B71" s="31">
        <f>IFERROR(-PMT(Assumptions!$B$22/12,Assumptions!$B$23*12,B69)*12,"")</f>
        <v>317596.50879999902</v>
      </c>
    </row>
    <row r="72" spans="1:6" x14ac:dyDescent="0.25">
      <c r="A72" t="s">
        <v>350</v>
      </c>
      <c r="B72" s="40">
        <f>IFERROR(C61/B71,"")</f>
        <v>1.2500000000000038</v>
      </c>
    </row>
    <row r="73" spans="1:6" x14ac:dyDescent="0.25">
      <c r="A73" t="s">
        <v>351</v>
      </c>
      <c r="B73" s="31">
        <f>IFERROR(C61-B71,"")</f>
        <v>79399.127200000978</v>
      </c>
    </row>
    <row r="74" spans="1:6" x14ac:dyDescent="0.25">
      <c r="A74" t="s">
        <v>352</v>
      </c>
      <c r="B74" s="39">
        <f>IFERROR(B73/B70,"")</f>
        <v>1.8897638231804383E-2</v>
      </c>
    </row>
    <row r="76" spans="1:6" x14ac:dyDescent="0.25">
      <c r="A76" s="26" t="s">
        <v>353</v>
      </c>
    </row>
  </sheetData>
  <hyperlinks>
    <hyperlink ref="A3" r:id="rId1" xr:uid="{00000000-0004-0000-0400-000000000000}"/>
  </hyperlinks>
  <pageMargins left="0.75" right="0.75" top="1" bottom="1" header="0.5" footer="0.5"/>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74"/>
  <sheetViews>
    <sheetView showGridLines="0" workbookViewId="0">
      <pane ySplit="5" topLeftCell="A6" activePane="bottomLeft" state="frozen"/>
      <selection pane="bottomLeft"/>
    </sheetView>
  </sheetViews>
  <sheetFormatPr defaultRowHeight="15" x14ac:dyDescent="0.25"/>
  <cols>
    <col min="1" max="1" width="38" customWidth="1"/>
    <col min="2" max="5" width="16" customWidth="1"/>
    <col min="6" max="6" width="48" customWidth="1"/>
    <col min="7" max="7" width="12" customWidth="1"/>
  </cols>
  <sheetData>
    <row r="1" spans="1:3" ht="19.5" x14ac:dyDescent="0.3">
      <c r="A1" s="1" t="s">
        <v>53</v>
      </c>
    </row>
    <row r="2" spans="1:3" x14ac:dyDescent="0.25">
      <c r="A2" s="32" t="s">
        <v>362</v>
      </c>
    </row>
    <row r="3" spans="1:3" x14ac:dyDescent="0.25">
      <c r="A3" s="33" t="s">
        <v>271</v>
      </c>
      <c r="B3" s="26" t="s">
        <v>272</v>
      </c>
    </row>
    <row r="6" spans="1:3" x14ac:dyDescent="0.25">
      <c r="A6" s="34" t="s">
        <v>273</v>
      </c>
      <c r="B6" s="35"/>
      <c r="C6" s="35"/>
    </row>
    <row r="7" spans="1:3" x14ac:dyDescent="0.25">
      <c r="A7" t="s">
        <v>7</v>
      </c>
      <c r="B7" s="36">
        <v>11</v>
      </c>
    </row>
    <row r="8" spans="1:3" x14ac:dyDescent="0.25">
      <c r="A8" t="s">
        <v>274</v>
      </c>
      <c r="B8" s="36">
        <v>6596</v>
      </c>
    </row>
    <row r="9" spans="1:3" x14ac:dyDescent="0.25">
      <c r="A9" t="s">
        <v>10</v>
      </c>
      <c r="B9" s="36">
        <v>6534</v>
      </c>
    </row>
    <row r="10" spans="1:3" x14ac:dyDescent="0.25">
      <c r="A10" t="s">
        <v>275</v>
      </c>
      <c r="B10" s="37">
        <v>0.15</v>
      </c>
    </row>
    <row r="11" spans="1:3" x14ac:dyDescent="0.25">
      <c r="A11" t="s">
        <v>8</v>
      </c>
      <c r="B11">
        <v>1971</v>
      </c>
    </row>
    <row r="12" spans="1:3" x14ac:dyDescent="0.25">
      <c r="A12" t="s">
        <v>276</v>
      </c>
      <c r="B12" t="s">
        <v>355</v>
      </c>
    </row>
    <row r="13" spans="1:3" x14ac:dyDescent="0.25">
      <c r="A13" t="s">
        <v>278</v>
      </c>
      <c r="B13" t="s">
        <v>363</v>
      </c>
    </row>
    <row r="14" spans="1:3" x14ac:dyDescent="0.25">
      <c r="A14" t="s">
        <v>280</v>
      </c>
      <c r="B14" t="s">
        <v>34</v>
      </c>
    </row>
    <row r="15" spans="1:3" x14ac:dyDescent="0.25">
      <c r="A15" t="s">
        <v>281</v>
      </c>
      <c r="B15" t="s">
        <v>364</v>
      </c>
    </row>
    <row r="16" spans="1:3" x14ac:dyDescent="0.25">
      <c r="A16" t="s">
        <v>283</v>
      </c>
      <c r="B16" s="31">
        <v>1373199</v>
      </c>
    </row>
    <row r="17" spans="1:6" x14ac:dyDescent="0.25">
      <c r="A17" t="s">
        <v>284</v>
      </c>
      <c r="B17" t="s">
        <v>57</v>
      </c>
    </row>
    <row r="18" spans="1:6" x14ac:dyDescent="0.25">
      <c r="A18" t="s">
        <v>285</v>
      </c>
      <c r="B18" t="s">
        <v>58</v>
      </c>
    </row>
    <row r="19" spans="1:6" x14ac:dyDescent="0.25">
      <c r="A19" t="s">
        <v>286</v>
      </c>
      <c r="B19" t="s">
        <v>59</v>
      </c>
    </row>
    <row r="21" spans="1:6" x14ac:dyDescent="0.25">
      <c r="A21" s="34" t="s">
        <v>287</v>
      </c>
      <c r="B21" s="35"/>
      <c r="C21" s="35"/>
    </row>
    <row r="22" spans="1:6" x14ac:dyDescent="0.25">
      <c r="A22" t="s">
        <v>11</v>
      </c>
      <c r="B22" s="28">
        <v>2650000</v>
      </c>
    </row>
    <row r="23" spans="1:6" x14ac:dyDescent="0.25">
      <c r="A23" t="s">
        <v>288</v>
      </c>
      <c r="B23" s="31">
        <f>IFERROR(B22/B7,"")</f>
        <v>240909.09090909091</v>
      </c>
    </row>
    <row r="24" spans="1:6" x14ac:dyDescent="0.25">
      <c r="A24" t="s">
        <v>289</v>
      </c>
      <c r="B24" s="38">
        <f>IFERROR(B22/B8,"")</f>
        <v>401.75864160097029</v>
      </c>
    </row>
    <row r="25" spans="1:6" x14ac:dyDescent="0.25">
      <c r="A25" t="s">
        <v>290</v>
      </c>
      <c r="B25" s="39">
        <v>5.9800000000000013E-2</v>
      </c>
    </row>
    <row r="26" spans="1:6" x14ac:dyDescent="0.25">
      <c r="A26" t="s">
        <v>291</v>
      </c>
      <c r="B26" s="40">
        <v>10.3</v>
      </c>
    </row>
    <row r="28" spans="1:6" x14ac:dyDescent="0.25">
      <c r="A28" s="34" t="s">
        <v>292</v>
      </c>
      <c r="B28" s="35"/>
      <c r="C28" s="35"/>
      <c r="D28" s="35"/>
      <c r="E28" s="35"/>
      <c r="F28" s="35"/>
    </row>
    <row r="29" spans="1:6" x14ac:dyDescent="0.25">
      <c r="A29" s="41" t="s">
        <v>293</v>
      </c>
      <c r="B29" s="41" t="s">
        <v>294</v>
      </c>
      <c r="C29" s="41" t="s">
        <v>295</v>
      </c>
      <c r="D29" s="41" t="s">
        <v>296</v>
      </c>
      <c r="E29" s="41" t="s">
        <v>297</v>
      </c>
      <c r="F29" s="41" t="s">
        <v>298</v>
      </c>
    </row>
    <row r="30" spans="1:6" x14ac:dyDescent="0.25">
      <c r="A30" t="s">
        <v>365</v>
      </c>
      <c r="B30" s="36">
        <v>5</v>
      </c>
      <c r="C30" s="28">
        <v>1654</v>
      </c>
      <c r="D30" s="31">
        <f>B30*C30</f>
        <v>8270</v>
      </c>
      <c r="E30" s="31">
        <f>D30*12</f>
        <v>99240</v>
      </c>
      <c r="F30" s="26" t="s">
        <v>38</v>
      </c>
    </row>
    <row r="31" spans="1:6" x14ac:dyDescent="0.25">
      <c r="A31" t="s">
        <v>302</v>
      </c>
      <c r="B31" s="36">
        <v>6</v>
      </c>
      <c r="C31" s="28">
        <v>2184</v>
      </c>
      <c r="D31" s="31">
        <f>B31*C31</f>
        <v>13104</v>
      </c>
      <c r="E31" s="31">
        <f>D31*12</f>
        <v>157248</v>
      </c>
      <c r="F31" s="26" t="s">
        <v>38</v>
      </c>
    </row>
    <row r="32" spans="1:6" x14ac:dyDescent="0.25">
      <c r="A32" s="42" t="s">
        <v>303</v>
      </c>
      <c r="B32" s="43">
        <f>SUM(B30:B31)</f>
        <v>11</v>
      </c>
      <c r="C32" s="44">
        <f>IFERROR(D32/B32,"")</f>
        <v>1943.090909090909</v>
      </c>
      <c r="D32" s="44">
        <f>SUM(D30:D31)</f>
        <v>21374</v>
      </c>
      <c r="E32" s="44">
        <f>SUM(E30:E31)</f>
        <v>256488</v>
      </c>
    </row>
    <row r="34" spans="1:6" x14ac:dyDescent="0.25">
      <c r="A34" s="34" t="s">
        <v>304</v>
      </c>
      <c r="B34" s="35"/>
      <c r="C34" s="35"/>
      <c r="D34" s="35"/>
      <c r="E34" s="35"/>
      <c r="F34" s="35"/>
    </row>
    <row r="35" spans="1:6" x14ac:dyDescent="0.25">
      <c r="A35" s="45"/>
      <c r="B35" s="45" t="s">
        <v>305</v>
      </c>
      <c r="C35" s="45" t="s">
        <v>306</v>
      </c>
      <c r="D35" s="45"/>
      <c r="E35" s="45"/>
      <c r="F35" s="45" t="s">
        <v>307</v>
      </c>
    </row>
    <row r="36" spans="1:6" x14ac:dyDescent="0.25">
      <c r="A36" t="s">
        <v>308</v>
      </c>
      <c r="B36" s="31">
        <v>257281.5533980582</v>
      </c>
      <c r="C36" s="31">
        <f>E32</f>
        <v>256488</v>
      </c>
      <c r="F36" s="26" t="s">
        <v>309</v>
      </c>
    </row>
    <row r="37" spans="1:6" x14ac:dyDescent="0.25">
      <c r="A37" t="s">
        <v>310</v>
      </c>
      <c r="B37" s="31">
        <v>0</v>
      </c>
      <c r="C37" s="28">
        <v>0</v>
      </c>
    </row>
    <row r="38" spans="1:6" x14ac:dyDescent="0.25">
      <c r="A38" s="42" t="s">
        <v>311</v>
      </c>
      <c r="B38" s="31">
        <f>B36+B37</f>
        <v>257281.5533980582</v>
      </c>
      <c r="C38" s="31">
        <f>C36+C37</f>
        <v>256488</v>
      </c>
    </row>
    <row r="39" spans="1:6" x14ac:dyDescent="0.25">
      <c r="A39" t="s">
        <v>312</v>
      </c>
      <c r="B39" s="31">
        <f>-B36*0.03</f>
        <v>-7718.4466019417459</v>
      </c>
      <c r="C39" s="31">
        <f>-C36*Assumptions!$B$3</f>
        <v>-7694.6399999999994</v>
      </c>
      <c r="F39" s="26" t="s">
        <v>313</v>
      </c>
    </row>
    <row r="40" spans="1:6" x14ac:dyDescent="0.25">
      <c r="A40" s="42" t="s">
        <v>314</v>
      </c>
      <c r="B40" s="44">
        <f>B38+B39</f>
        <v>249563.10679611645</v>
      </c>
      <c r="C40" s="44">
        <f>C38+C39</f>
        <v>248793.36</v>
      </c>
    </row>
    <row r="42" spans="1:6" x14ac:dyDescent="0.25">
      <c r="A42" s="34" t="s">
        <v>315</v>
      </c>
      <c r="B42" s="35"/>
      <c r="C42" s="35"/>
      <c r="D42" s="35"/>
      <c r="E42" s="35"/>
      <c r="F42" s="35"/>
    </row>
    <row r="43" spans="1:6" x14ac:dyDescent="0.25">
      <c r="A43" s="45" t="s">
        <v>316</v>
      </c>
      <c r="B43" s="45" t="s">
        <v>305</v>
      </c>
      <c r="C43" s="45" t="s">
        <v>317</v>
      </c>
      <c r="D43" s="45" t="s">
        <v>306</v>
      </c>
      <c r="E43" s="45" t="s">
        <v>318</v>
      </c>
      <c r="F43" s="45" t="s">
        <v>307</v>
      </c>
    </row>
    <row r="44" spans="1:6" x14ac:dyDescent="0.25">
      <c r="A44" t="s">
        <v>319</v>
      </c>
      <c r="B44" s="31"/>
      <c r="C44" s="31">
        <f>B22*Assumptions!$B$15</f>
        <v>33125</v>
      </c>
      <c r="D44" s="46">
        <f>C44</f>
        <v>33125</v>
      </c>
      <c r="E44" s="31" t="str">
        <f t="shared" ref="E44:E52" si="0">IF(ISNUMBER(B44),D44-B44,"")</f>
        <v/>
      </c>
      <c r="F44" s="26" t="s">
        <v>358</v>
      </c>
    </row>
    <row r="45" spans="1:6" x14ac:dyDescent="0.25">
      <c r="A45" t="s">
        <v>321</v>
      </c>
      <c r="B45" s="31"/>
      <c r="C45" s="31">
        <f>B7*Assumptions!$B$5+B8*Assumptions!$B$6</f>
        <v>8796</v>
      </c>
      <c r="D45" s="46">
        <f t="shared" ref="D45:D51" si="1">IF(ISNUMBER(B45),MAX(B45,C45),C45)</f>
        <v>8796</v>
      </c>
      <c r="E45" s="31" t="str">
        <f t="shared" si="0"/>
        <v/>
      </c>
      <c r="F45" s="26" t="s">
        <v>322</v>
      </c>
    </row>
    <row r="46" spans="1:6" x14ac:dyDescent="0.25">
      <c r="A46" t="s">
        <v>323</v>
      </c>
      <c r="B46" s="31"/>
      <c r="C46" s="31">
        <f>C40*Assumptions!$B$4</f>
        <v>12439.668</v>
      </c>
      <c r="D46" s="46">
        <f t="shared" si="1"/>
        <v>12439.668</v>
      </c>
      <c r="E46" s="31" t="str">
        <f t="shared" si="0"/>
        <v/>
      </c>
      <c r="F46" s="26" t="s">
        <v>324</v>
      </c>
    </row>
    <row r="47" spans="1:6" x14ac:dyDescent="0.25">
      <c r="A47" t="s">
        <v>325</v>
      </c>
      <c r="B47" s="31"/>
      <c r="C47" s="31">
        <f>B7*Assumptions!$B$7</f>
        <v>13200</v>
      </c>
      <c r="D47" s="46">
        <f t="shared" si="1"/>
        <v>13200</v>
      </c>
      <c r="E47" s="31" t="str">
        <f t="shared" si="0"/>
        <v/>
      </c>
      <c r="F47" s="26" t="s">
        <v>326</v>
      </c>
    </row>
    <row r="48" spans="1:6" x14ac:dyDescent="0.25">
      <c r="A48" t="s">
        <v>327</v>
      </c>
      <c r="B48" s="31"/>
      <c r="C48" s="31">
        <f>B7*Assumptions!$B$9</f>
        <v>16500</v>
      </c>
      <c r="D48" s="46">
        <f t="shared" si="1"/>
        <v>16500</v>
      </c>
      <c r="E48" s="31" t="str">
        <f t="shared" si="0"/>
        <v/>
      </c>
      <c r="F48" s="26" t="s">
        <v>328</v>
      </c>
    </row>
    <row r="49" spans="1:6" x14ac:dyDescent="0.25">
      <c r="A49" t="s">
        <v>329</v>
      </c>
      <c r="B49" s="31"/>
      <c r="C49" s="31">
        <f>B7*Assumptions!$B$12</f>
        <v>4400</v>
      </c>
      <c r="D49" s="46">
        <f t="shared" si="1"/>
        <v>4400</v>
      </c>
      <c r="E49" s="31" t="str">
        <f t="shared" si="0"/>
        <v/>
      </c>
      <c r="F49" s="26" t="s">
        <v>330</v>
      </c>
    </row>
    <row r="50" spans="1:6" x14ac:dyDescent="0.25">
      <c r="A50" t="s">
        <v>331</v>
      </c>
      <c r="B50" s="31"/>
      <c r="C50" s="31">
        <f>B7*Assumptions!$B$13</f>
        <v>2750</v>
      </c>
      <c r="D50" s="46">
        <f t="shared" si="1"/>
        <v>2750</v>
      </c>
      <c r="E50" s="31" t="str">
        <f t="shared" si="0"/>
        <v/>
      </c>
      <c r="F50" s="26" t="s">
        <v>332</v>
      </c>
    </row>
    <row r="51" spans="1:6" x14ac:dyDescent="0.25">
      <c r="A51" t="s">
        <v>333</v>
      </c>
      <c r="B51" s="31"/>
      <c r="C51" s="31">
        <f>B7*Assumptions!$B$14</f>
        <v>3300</v>
      </c>
      <c r="D51" s="46">
        <f t="shared" si="1"/>
        <v>3300</v>
      </c>
      <c r="E51" s="31" t="str">
        <f t="shared" si="0"/>
        <v/>
      </c>
      <c r="F51" s="26" t="s">
        <v>330</v>
      </c>
    </row>
    <row r="52" spans="1:6" x14ac:dyDescent="0.25">
      <c r="A52" s="42" t="s">
        <v>334</v>
      </c>
      <c r="B52" s="44">
        <f>B40-B22*B25</f>
        <v>91093.106796116423</v>
      </c>
      <c r="C52" s="44">
        <f>SUM(C44:C51)</f>
        <v>94510.668000000005</v>
      </c>
      <c r="D52" s="44">
        <f>SUM(D44:D51)</f>
        <v>94510.668000000005</v>
      </c>
      <c r="E52" s="44">
        <f t="shared" si="0"/>
        <v>3417.5612038835825</v>
      </c>
      <c r="F52" s="26" t="s">
        <v>335</v>
      </c>
    </row>
    <row r="53" spans="1:6" x14ac:dyDescent="0.25">
      <c r="A53" t="s">
        <v>336</v>
      </c>
      <c r="B53" s="31">
        <f>IFERROR(B52/B7,"")</f>
        <v>8281.1915269196743</v>
      </c>
      <c r="C53" s="31">
        <f>IFERROR(C52/B7,"")</f>
        <v>8591.8789090909104</v>
      </c>
      <c r="D53" s="31">
        <f>IFERROR(D52/B7,"")</f>
        <v>8591.8789090909104</v>
      </c>
    </row>
    <row r="54" spans="1:6" x14ac:dyDescent="0.25">
      <c r="A54" t="s">
        <v>337</v>
      </c>
      <c r="B54" s="39">
        <f>IFERROR(B52/B40,"")</f>
        <v>0.36501030927835026</v>
      </c>
      <c r="C54" s="39">
        <f>IFERROR(C52/C40,"")</f>
        <v>0.37987616711314165</v>
      </c>
      <c r="D54" s="39">
        <f>IF(C36&gt;0,IFERROR(D52/C40,""),"")</f>
        <v>0.37987616711314165</v>
      </c>
    </row>
    <row r="55" spans="1:6" x14ac:dyDescent="0.25">
      <c r="A55" s="42" t="s">
        <v>18</v>
      </c>
      <c r="B55" s="47" t="str">
        <f>IF(ISNUMBER(B52),IF(D52&gt;B52*(1+Assumptions!$B$24),"OM EXPENSES LIGHT","OM expenses reasonable"),"OM expenses not published")</f>
        <v>OM expenses reasonable</v>
      </c>
    </row>
    <row r="57" spans="1:6" x14ac:dyDescent="0.25">
      <c r="A57" s="34" t="s">
        <v>338</v>
      </c>
      <c r="B57" s="35"/>
      <c r="C57" s="35"/>
      <c r="D57" s="35"/>
      <c r="E57" s="35"/>
      <c r="F57" s="35"/>
    </row>
    <row r="58" spans="1:6" x14ac:dyDescent="0.25">
      <c r="A58" s="45"/>
      <c r="B58" s="45" t="s">
        <v>305</v>
      </c>
      <c r="C58" s="45" t="s">
        <v>306</v>
      </c>
      <c r="D58" s="45"/>
      <c r="E58" s="45"/>
      <c r="F58" s="45" t="s">
        <v>307</v>
      </c>
    </row>
    <row r="59" spans="1:6" x14ac:dyDescent="0.25">
      <c r="A59" s="42" t="s">
        <v>339</v>
      </c>
      <c r="B59" s="44">
        <f>B40-B52</f>
        <v>158470.00000000003</v>
      </c>
      <c r="C59" s="44">
        <f>IF(C36&gt;0,C40-D52,"")</f>
        <v>154282.69199999998</v>
      </c>
    </row>
    <row r="60" spans="1:6" x14ac:dyDescent="0.25">
      <c r="A60" s="42" t="s">
        <v>340</v>
      </c>
      <c r="B60" s="39">
        <f>IFERROR(B59/B22,"")</f>
        <v>5.9800000000000013E-2</v>
      </c>
      <c r="C60" s="39">
        <f>IF(C59="","",IFERROR(C59/B22,""))</f>
        <v>5.8219883773584898E-2</v>
      </c>
      <c r="F60" s="26" t="s">
        <v>341</v>
      </c>
    </row>
    <row r="61" spans="1:6" x14ac:dyDescent="0.25">
      <c r="A61" t="s">
        <v>342</v>
      </c>
      <c r="B61" s="40">
        <f>IFERROR(B22/B36,"")</f>
        <v>10.300000000000002</v>
      </c>
      <c r="C61" s="40">
        <f>IF(C36&gt;0,IFERROR(B22/C36,""),"")</f>
        <v>10.331867377811047</v>
      </c>
    </row>
    <row r="62" spans="1:6" x14ac:dyDescent="0.25">
      <c r="A62" t="s">
        <v>343</v>
      </c>
      <c r="B62" s="31">
        <f>IFERROR(B59/B7,"")</f>
        <v>14406.36363636364</v>
      </c>
      <c r="C62" s="31">
        <f>IF(C59="","",IFERROR(C59/B7,""))</f>
        <v>14025.699272727272</v>
      </c>
    </row>
    <row r="64" spans="1:6" x14ac:dyDescent="0.25">
      <c r="A64" s="34" t="s">
        <v>344</v>
      </c>
      <c r="B64" s="35"/>
      <c r="C64" s="35"/>
      <c r="D64" s="35"/>
      <c r="E64" s="35"/>
      <c r="F64" s="35"/>
    </row>
    <row r="65" spans="1:2" x14ac:dyDescent="0.25">
      <c r="A65" t="s">
        <v>345</v>
      </c>
      <c r="B65" s="31">
        <f>IFERROR(B22*Assumptions!$B$20,"")</f>
        <v>1590000</v>
      </c>
    </row>
    <row r="66" spans="1:2" x14ac:dyDescent="0.25">
      <c r="A66" t="s">
        <v>346</v>
      </c>
      <c r="B66" s="31">
        <f>IF(C59="","",IFERROR(PV(Assumptions!$B$22/12,Assumptions!$B$23*12,-C59/Assumptions!$B$21/12),""))</f>
        <v>1670493.0108947947</v>
      </c>
    </row>
    <row r="67" spans="1:2" x14ac:dyDescent="0.25">
      <c r="A67" s="42" t="s">
        <v>347</v>
      </c>
      <c r="B67" s="31">
        <f>IFERROR(MIN(B65,B66),"")</f>
        <v>1590000</v>
      </c>
    </row>
    <row r="68" spans="1:2" x14ac:dyDescent="0.25">
      <c r="A68" t="s">
        <v>348</v>
      </c>
      <c r="B68" s="31">
        <f>IFERROR(B22-B67,"")</f>
        <v>1060000</v>
      </c>
    </row>
    <row r="69" spans="1:2" x14ac:dyDescent="0.25">
      <c r="A69" t="s">
        <v>349</v>
      </c>
      <c r="B69" s="31">
        <f>IFERROR(-PMT(Assumptions!$B$22/12,Assumptions!$B$23*12,B67)*12,"")</f>
        <v>117478.8418413555</v>
      </c>
    </row>
    <row r="70" spans="1:2" x14ac:dyDescent="0.25">
      <c r="A70" t="s">
        <v>350</v>
      </c>
      <c r="B70" s="40">
        <f>IFERROR(C59/B69,"")</f>
        <v>1.313280668942453</v>
      </c>
    </row>
    <row r="71" spans="1:2" x14ac:dyDescent="0.25">
      <c r="A71" t="s">
        <v>351</v>
      </c>
      <c r="B71" s="31">
        <f>IFERROR(C59-B69,"")</f>
        <v>36803.850158644476</v>
      </c>
    </row>
    <row r="72" spans="1:2" x14ac:dyDescent="0.25">
      <c r="A72" t="s">
        <v>352</v>
      </c>
      <c r="B72" s="39">
        <f>IFERROR(B71/B68,"")</f>
        <v>3.4720613357211771E-2</v>
      </c>
    </row>
    <row r="74" spans="1:2" x14ac:dyDescent="0.25">
      <c r="A74" s="26" t="s">
        <v>353</v>
      </c>
    </row>
  </sheetData>
  <hyperlinks>
    <hyperlink ref="A3" r:id="rId1" xr:uid="{00000000-0004-0000-0500-000000000000}"/>
  </hyperlinks>
  <pageMargins left="0.75" right="0.75" top="1" bottom="1" header="0.5" footer="0.5"/>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76"/>
  <sheetViews>
    <sheetView showGridLines="0" workbookViewId="0">
      <pane ySplit="5" topLeftCell="A6" activePane="bottomLeft" state="frozen"/>
      <selection pane="bottomLeft"/>
    </sheetView>
  </sheetViews>
  <sheetFormatPr defaultRowHeight="15" x14ac:dyDescent="0.25"/>
  <cols>
    <col min="1" max="1" width="38" customWidth="1"/>
    <col min="2" max="5" width="16" customWidth="1"/>
    <col min="6" max="6" width="48" customWidth="1"/>
    <col min="7" max="7" width="12" customWidth="1"/>
  </cols>
  <sheetData>
    <row r="1" spans="1:3" ht="19.5" x14ac:dyDescent="0.3">
      <c r="A1" s="1" t="s">
        <v>60</v>
      </c>
    </row>
    <row r="2" spans="1:3" x14ac:dyDescent="0.25">
      <c r="A2" s="32" t="s">
        <v>366</v>
      </c>
    </row>
    <row r="3" spans="1:3" x14ac:dyDescent="0.25">
      <c r="A3" s="33" t="s">
        <v>271</v>
      </c>
      <c r="B3" s="26" t="s">
        <v>579</v>
      </c>
    </row>
    <row r="4" spans="1:3" x14ac:dyDescent="0.25">
      <c r="A4" s="53" t="s">
        <v>580</v>
      </c>
    </row>
    <row r="6" spans="1:3" x14ac:dyDescent="0.25">
      <c r="A6" s="34" t="s">
        <v>273</v>
      </c>
      <c r="B6" s="35"/>
      <c r="C6" s="35"/>
    </row>
    <row r="7" spans="1:3" x14ac:dyDescent="0.25">
      <c r="A7" t="s">
        <v>7</v>
      </c>
      <c r="B7" s="36">
        <v>29</v>
      </c>
    </row>
    <row r="8" spans="1:3" x14ac:dyDescent="0.25">
      <c r="A8" t="s">
        <v>274</v>
      </c>
      <c r="B8" s="36">
        <v>19116</v>
      </c>
    </row>
    <row r="9" spans="1:3" x14ac:dyDescent="0.25">
      <c r="A9" t="s">
        <v>10</v>
      </c>
      <c r="B9" s="36">
        <v>20038</v>
      </c>
    </row>
    <row r="10" spans="1:3" x14ac:dyDescent="0.25">
      <c r="A10" t="s">
        <v>275</v>
      </c>
      <c r="B10" s="37">
        <v>0.46</v>
      </c>
    </row>
    <row r="11" spans="1:3" x14ac:dyDescent="0.25">
      <c r="A11" t="s">
        <v>8</v>
      </c>
      <c r="B11">
        <v>1974</v>
      </c>
    </row>
    <row r="12" spans="1:3" x14ac:dyDescent="0.25">
      <c r="A12" t="s">
        <v>276</v>
      </c>
      <c r="B12" t="s">
        <v>367</v>
      </c>
    </row>
    <row r="13" spans="1:3" x14ac:dyDescent="0.25">
      <c r="A13" t="s">
        <v>278</v>
      </c>
      <c r="B13" t="s">
        <v>368</v>
      </c>
    </row>
    <row r="14" spans="1:3" x14ac:dyDescent="0.25">
      <c r="A14" t="s">
        <v>280</v>
      </c>
      <c r="B14" t="s">
        <v>63</v>
      </c>
    </row>
    <row r="15" spans="1:3" x14ac:dyDescent="0.25">
      <c r="A15" t="s">
        <v>281</v>
      </c>
      <c r="B15" t="s">
        <v>369</v>
      </c>
    </row>
    <row r="16" spans="1:3" x14ac:dyDescent="0.25">
      <c r="A16" t="s">
        <v>283</v>
      </c>
      <c r="B16" s="31">
        <v>1010303</v>
      </c>
    </row>
    <row r="17" spans="1:6" x14ac:dyDescent="0.25">
      <c r="A17" t="s">
        <v>284</v>
      </c>
      <c r="B17" t="s">
        <v>43</v>
      </c>
    </row>
    <row r="18" spans="1:6" x14ac:dyDescent="0.25">
      <c r="A18" t="s">
        <v>285</v>
      </c>
      <c r="B18" t="s">
        <v>64</v>
      </c>
    </row>
    <row r="19" spans="1:6" x14ac:dyDescent="0.25">
      <c r="A19" t="s">
        <v>286</v>
      </c>
      <c r="B19" t="s">
        <v>65</v>
      </c>
    </row>
    <row r="21" spans="1:6" x14ac:dyDescent="0.25">
      <c r="A21" s="34" t="s">
        <v>287</v>
      </c>
      <c r="B21" s="35"/>
      <c r="C21" s="35"/>
    </row>
    <row r="22" spans="1:6" x14ac:dyDescent="0.25">
      <c r="A22" t="s">
        <v>11</v>
      </c>
      <c r="B22" s="28">
        <v>5575000</v>
      </c>
    </row>
    <row r="23" spans="1:6" x14ac:dyDescent="0.25">
      <c r="A23" t="s">
        <v>288</v>
      </c>
      <c r="B23" s="31">
        <f>IFERROR(B22/B7,"")</f>
        <v>192241.37931034484</v>
      </c>
    </row>
    <row r="24" spans="1:6" x14ac:dyDescent="0.25">
      <c r="A24" t="s">
        <v>289</v>
      </c>
      <c r="B24" s="38">
        <f>IFERROR(B22/B8,"")</f>
        <v>291.64051056706421</v>
      </c>
    </row>
    <row r="25" spans="1:6" x14ac:dyDescent="0.25">
      <c r="A25" t="s">
        <v>290</v>
      </c>
      <c r="B25" s="39">
        <v>5.9200000000000003E-2</v>
      </c>
    </row>
    <row r="26" spans="1:6" x14ac:dyDescent="0.25">
      <c r="A26" t="s">
        <v>291</v>
      </c>
      <c r="B26" s="40">
        <v>10.51</v>
      </c>
    </row>
    <row r="28" spans="1:6" x14ac:dyDescent="0.25">
      <c r="A28" s="34" t="s">
        <v>292</v>
      </c>
      <c r="B28" s="35"/>
      <c r="C28" s="35"/>
      <c r="D28" s="35"/>
      <c r="E28" s="35"/>
      <c r="F28" s="35"/>
    </row>
    <row r="29" spans="1:6" x14ac:dyDescent="0.25">
      <c r="A29" s="41" t="s">
        <v>293</v>
      </c>
      <c r="B29" s="41" t="s">
        <v>294</v>
      </c>
      <c r="C29" s="41" t="s">
        <v>295</v>
      </c>
      <c r="D29" s="41" t="s">
        <v>296</v>
      </c>
      <c r="E29" s="41" t="s">
        <v>297</v>
      </c>
      <c r="F29" s="41" t="s">
        <v>298</v>
      </c>
    </row>
    <row r="30" spans="1:6" x14ac:dyDescent="0.25">
      <c r="A30" t="s">
        <v>570</v>
      </c>
      <c r="B30" s="36">
        <v>3</v>
      </c>
      <c r="C30" s="56">
        <v>1973</v>
      </c>
      <c r="D30" s="51">
        <f>B30*C30</f>
        <v>5919</v>
      </c>
      <c r="E30" s="51">
        <f>D30*12</f>
        <v>71028</v>
      </c>
      <c r="F30" s="52" t="s">
        <v>571</v>
      </c>
    </row>
    <row r="31" spans="1:6" x14ac:dyDescent="0.25">
      <c r="A31" t="s">
        <v>572</v>
      </c>
      <c r="B31" s="36">
        <v>13</v>
      </c>
      <c r="C31" s="56">
        <v>1596</v>
      </c>
      <c r="D31" s="51">
        <f>B31*C31</f>
        <v>20748</v>
      </c>
      <c r="E31" s="51">
        <f>D31*12</f>
        <v>248976</v>
      </c>
      <c r="F31" s="52" t="s">
        <v>571</v>
      </c>
    </row>
    <row r="32" spans="1:6" x14ac:dyDescent="0.25">
      <c r="A32" t="s">
        <v>573</v>
      </c>
      <c r="B32" s="36">
        <v>12</v>
      </c>
      <c r="C32" s="56">
        <v>1347</v>
      </c>
      <c r="D32" s="51">
        <f>B32*C32</f>
        <v>16164</v>
      </c>
      <c r="E32" s="51">
        <f>D32*12</f>
        <v>193968</v>
      </c>
      <c r="F32" s="52" t="s">
        <v>571</v>
      </c>
    </row>
    <row r="33" spans="1:6" x14ac:dyDescent="0.25">
      <c r="A33" t="s">
        <v>574</v>
      </c>
      <c r="B33" s="36">
        <v>1</v>
      </c>
      <c r="C33" s="56">
        <v>1100</v>
      </c>
      <c r="D33" s="51">
        <f>B33*C33</f>
        <v>1100</v>
      </c>
      <c r="E33" s="51">
        <f>D33*12</f>
        <v>13200</v>
      </c>
      <c r="F33" s="52" t="s">
        <v>571</v>
      </c>
    </row>
    <row r="34" spans="1:6" x14ac:dyDescent="0.25">
      <c r="A34" s="42" t="s">
        <v>303</v>
      </c>
      <c r="B34" s="43">
        <f>SUM(B30:B33)</f>
        <v>29</v>
      </c>
      <c r="C34" s="44">
        <f>IFERROR(D34/B34,"")</f>
        <v>1514.8620689655172</v>
      </c>
      <c r="D34" s="44">
        <f>SUM(D30:D33)</f>
        <v>43931</v>
      </c>
      <c r="E34" s="44">
        <f>SUM(E30:E33)</f>
        <v>527172</v>
      </c>
    </row>
    <row r="36" spans="1:6" x14ac:dyDescent="0.25">
      <c r="A36" s="34" t="s">
        <v>304</v>
      </c>
      <c r="B36" s="35"/>
      <c r="C36" s="35"/>
      <c r="D36" s="35"/>
      <c r="E36" s="35"/>
      <c r="F36" s="35"/>
    </row>
    <row r="37" spans="1:6" x14ac:dyDescent="0.25">
      <c r="A37" s="45"/>
      <c r="B37" s="45" t="s">
        <v>305</v>
      </c>
      <c r="C37" s="45" t="s">
        <v>306</v>
      </c>
      <c r="D37" s="45"/>
      <c r="E37" s="45"/>
      <c r="F37" s="45" t="s">
        <v>307</v>
      </c>
    </row>
    <row r="38" spans="1:6" x14ac:dyDescent="0.25">
      <c r="A38" t="s">
        <v>308</v>
      </c>
      <c r="B38" s="51">
        <v>527209</v>
      </c>
      <c r="C38" s="31">
        <f>E34</f>
        <v>527172</v>
      </c>
      <c r="F38" s="26" t="s">
        <v>575</v>
      </c>
    </row>
    <row r="39" spans="1:6" x14ac:dyDescent="0.25">
      <c r="A39" t="s">
        <v>310</v>
      </c>
      <c r="B39" s="31">
        <v>3000</v>
      </c>
      <c r="C39" s="28">
        <v>3000</v>
      </c>
    </row>
    <row r="40" spans="1:6" x14ac:dyDescent="0.25">
      <c r="A40" s="42" t="s">
        <v>311</v>
      </c>
      <c r="B40" s="31">
        <f>B38+B39</f>
        <v>530209</v>
      </c>
      <c r="C40" s="31">
        <f>C38+C39</f>
        <v>530172</v>
      </c>
    </row>
    <row r="41" spans="1:6" x14ac:dyDescent="0.25">
      <c r="A41" t="s">
        <v>312</v>
      </c>
      <c r="B41" s="31">
        <f>-B38*0.03</f>
        <v>-15816.269999999999</v>
      </c>
      <c r="C41" s="31">
        <f>-C38*Assumptions!$B$3</f>
        <v>-15815.16</v>
      </c>
      <c r="F41" s="26" t="s">
        <v>499</v>
      </c>
    </row>
    <row r="42" spans="1:6" x14ac:dyDescent="0.25">
      <c r="A42" s="42" t="s">
        <v>314</v>
      </c>
      <c r="B42" s="44">
        <f>B40+B41</f>
        <v>514392.73</v>
      </c>
      <c r="C42" s="44">
        <f>C40+C41</f>
        <v>514356.84</v>
      </c>
    </row>
    <row r="44" spans="1:6" x14ac:dyDescent="0.25">
      <c r="A44" s="34" t="s">
        <v>315</v>
      </c>
      <c r="B44" s="35"/>
      <c r="C44" s="35"/>
      <c r="D44" s="35"/>
      <c r="E44" s="35"/>
      <c r="F44" s="35"/>
    </row>
    <row r="45" spans="1:6" x14ac:dyDescent="0.25">
      <c r="A45" s="45" t="s">
        <v>316</v>
      </c>
      <c r="B45" s="45" t="s">
        <v>305</v>
      </c>
      <c r="C45" s="45" t="s">
        <v>317</v>
      </c>
      <c r="D45" s="45" t="s">
        <v>306</v>
      </c>
      <c r="E45" s="45" t="s">
        <v>318</v>
      </c>
      <c r="F45" s="45" t="s">
        <v>307</v>
      </c>
    </row>
    <row r="46" spans="1:6" x14ac:dyDescent="0.25">
      <c r="A46" t="s">
        <v>319</v>
      </c>
      <c r="B46" s="51">
        <v>70055</v>
      </c>
      <c r="C46" s="31">
        <f>B22*Assumptions!$B$15</f>
        <v>69687.5</v>
      </c>
      <c r="D46" s="46">
        <f>C46</f>
        <v>69687.5</v>
      </c>
      <c r="E46" s="31">
        <f t="shared" ref="E46:E54" si="0">IF(ISNUMBER(B46),D46-B46,"")</f>
        <v>-367.5</v>
      </c>
      <c r="F46" s="26" t="s">
        <v>358</v>
      </c>
    </row>
    <row r="47" spans="1:6" x14ac:dyDescent="0.25">
      <c r="A47" t="s">
        <v>321</v>
      </c>
      <c r="B47" s="51">
        <v>17133</v>
      </c>
      <c r="C47" s="31">
        <f>B7*Assumptions!$B$5+B8*Assumptions!$B$6</f>
        <v>24916</v>
      </c>
      <c r="D47" s="46">
        <f t="shared" ref="D47:D53" si="1">IF(ISNUMBER(B47),MAX(B47,C47),C47)</f>
        <v>24916</v>
      </c>
      <c r="E47" s="31">
        <f t="shared" si="0"/>
        <v>7783</v>
      </c>
      <c r="F47" s="26" t="s">
        <v>322</v>
      </c>
    </row>
    <row r="48" spans="1:6" x14ac:dyDescent="0.25">
      <c r="A48" t="s">
        <v>323</v>
      </c>
      <c r="B48" s="51">
        <v>11400</v>
      </c>
      <c r="C48" s="31">
        <f>C42*Assumptions!$B$4</f>
        <v>25717.842000000004</v>
      </c>
      <c r="D48" s="46">
        <f t="shared" si="1"/>
        <v>25717.842000000004</v>
      </c>
      <c r="E48" s="31">
        <f t="shared" si="0"/>
        <v>14317.842000000004</v>
      </c>
      <c r="F48" s="26" t="s">
        <v>324</v>
      </c>
    </row>
    <row r="49" spans="1:6" x14ac:dyDescent="0.25">
      <c r="A49" t="s">
        <v>325</v>
      </c>
      <c r="B49" s="51">
        <v>29000</v>
      </c>
      <c r="C49" s="31">
        <f>B7*Assumptions!$B$7</f>
        <v>34800</v>
      </c>
      <c r="D49" s="46">
        <f t="shared" si="1"/>
        <v>34800</v>
      </c>
      <c r="E49" s="31">
        <f t="shared" si="0"/>
        <v>5800</v>
      </c>
      <c r="F49" s="26" t="s">
        <v>326</v>
      </c>
    </row>
    <row r="50" spans="1:6" x14ac:dyDescent="0.25">
      <c r="A50" t="s">
        <v>327</v>
      </c>
      <c r="B50" s="51">
        <v>29000</v>
      </c>
      <c r="C50" s="31">
        <f>B7*Assumptions!$B$9</f>
        <v>43500</v>
      </c>
      <c r="D50" s="46">
        <f t="shared" si="1"/>
        <v>43500</v>
      </c>
      <c r="E50" s="31">
        <f t="shared" si="0"/>
        <v>14500</v>
      </c>
      <c r="F50" s="26" t="s">
        <v>500</v>
      </c>
    </row>
    <row r="51" spans="1:6" x14ac:dyDescent="0.25">
      <c r="A51" t="s">
        <v>329</v>
      </c>
      <c r="B51" s="51"/>
      <c r="C51" s="31">
        <f>B7*Assumptions!$B$12</f>
        <v>11600</v>
      </c>
      <c r="D51" s="46">
        <f t="shared" si="1"/>
        <v>11600</v>
      </c>
      <c r="E51" s="31" t="str">
        <f t="shared" si="0"/>
        <v/>
      </c>
      <c r="F51" s="26" t="s">
        <v>330</v>
      </c>
    </row>
    <row r="52" spans="1:6" x14ac:dyDescent="0.25">
      <c r="A52" t="s">
        <v>388</v>
      </c>
      <c r="B52" s="51">
        <v>25000</v>
      </c>
      <c r="C52" s="31">
        <f>B7*Assumptions!$B$13</f>
        <v>7250</v>
      </c>
      <c r="D52" s="46">
        <f t="shared" si="1"/>
        <v>25000</v>
      </c>
      <c r="E52" s="31">
        <f t="shared" si="0"/>
        <v>0</v>
      </c>
      <c r="F52" s="26" t="s">
        <v>576</v>
      </c>
    </row>
    <row r="53" spans="1:6" x14ac:dyDescent="0.25">
      <c r="A53" t="s">
        <v>333</v>
      </c>
      <c r="B53" s="51"/>
      <c r="C53" s="31">
        <f>B7*Assumptions!$B$14</f>
        <v>8700</v>
      </c>
      <c r="D53" s="46">
        <f t="shared" si="1"/>
        <v>8700</v>
      </c>
      <c r="E53" s="31" t="str">
        <f t="shared" si="0"/>
        <v/>
      </c>
      <c r="F53" s="26" t="s">
        <v>330</v>
      </c>
    </row>
    <row r="54" spans="1:6" x14ac:dyDescent="0.25">
      <c r="A54" s="42" t="s">
        <v>334</v>
      </c>
      <c r="B54" s="44">
        <f>SUM(B46:B53)</f>
        <v>181588</v>
      </c>
      <c r="C54" s="44">
        <f>SUM(C46:C53)</f>
        <v>226171.342</v>
      </c>
      <c r="D54" s="44">
        <f>SUM(D46:D53)</f>
        <v>243921.342</v>
      </c>
      <c r="E54" s="44">
        <f t="shared" si="0"/>
        <v>62333.342000000004</v>
      </c>
      <c r="F54" s="26" t="s">
        <v>577</v>
      </c>
    </row>
    <row r="55" spans="1:6" x14ac:dyDescent="0.25">
      <c r="A55" t="s">
        <v>336</v>
      </c>
      <c r="B55" s="31">
        <f>IFERROR(B54/B7,"")</f>
        <v>6261.6551724137935</v>
      </c>
      <c r="C55" s="31">
        <f>IFERROR(C54/B7,"")</f>
        <v>7799.0117931034483</v>
      </c>
      <c r="D55" s="31">
        <f>IFERROR(D54/B7,"")</f>
        <v>8411.0807586206902</v>
      </c>
    </row>
    <row r="56" spans="1:6" x14ac:dyDescent="0.25">
      <c r="A56" t="s">
        <v>337</v>
      </c>
      <c r="B56" s="39">
        <f>IFERROR(B54/B42,"")</f>
        <v>0.35301432040067909</v>
      </c>
      <c r="C56" s="39">
        <f>IFERROR(C54/C42,"")</f>
        <v>0.43971679661147306</v>
      </c>
      <c r="D56" s="39">
        <f>IF(C38&gt;0,IFERROR(D54/C42,""),"")</f>
        <v>0.47422591288958071</v>
      </c>
    </row>
    <row r="57" spans="1:6" x14ac:dyDescent="0.25">
      <c r="A57" s="42" t="s">
        <v>18</v>
      </c>
      <c r="B57" s="47" t="str">
        <f>IF(ISNUMBER(B54),IF(D54&gt;B54*(1+Assumptions!$B$24),"OM EXPENSES LIGHT","OM expenses reasonable"),"OM expenses not published")</f>
        <v>OM EXPENSES LIGHT</v>
      </c>
    </row>
    <row r="59" spans="1:6" x14ac:dyDescent="0.25">
      <c r="A59" s="34" t="s">
        <v>338</v>
      </c>
      <c r="B59" s="35"/>
      <c r="C59" s="35"/>
      <c r="D59" s="35"/>
      <c r="E59" s="35"/>
      <c r="F59" s="35"/>
    </row>
    <row r="60" spans="1:6" x14ac:dyDescent="0.25">
      <c r="A60" s="45"/>
      <c r="B60" s="45" t="s">
        <v>305</v>
      </c>
      <c r="C60" s="45" t="s">
        <v>306</v>
      </c>
      <c r="D60" s="45"/>
      <c r="E60" s="45"/>
      <c r="F60" s="45" t="s">
        <v>307</v>
      </c>
    </row>
    <row r="61" spans="1:6" x14ac:dyDescent="0.25">
      <c r="A61" s="42" t="s">
        <v>339</v>
      </c>
      <c r="B61" s="44">
        <f>B42-B54</f>
        <v>332804.73</v>
      </c>
      <c r="C61" s="44">
        <f>IF(C38&gt;0,C42-D54,"")</f>
        <v>270435.49800000002</v>
      </c>
      <c r="F61" t="s">
        <v>578</v>
      </c>
    </row>
    <row r="62" spans="1:6" x14ac:dyDescent="0.25">
      <c r="A62" s="42" t="s">
        <v>340</v>
      </c>
      <c r="B62" s="39">
        <f>IFERROR(B61/B22,"")</f>
        <v>5.9695915695067263E-2</v>
      </c>
      <c r="C62" s="39">
        <f>IF(C61="","",IFERROR(C61/B22,""))</f>
        <v>4.8508609506726461E-2</v>
      </c>
      <c r="F62" s="26" t="s">
        <v>341</v>
      </c>
    </row>
    <row r="63" spans="1:6" x14ac:dyDescent="0.25">
      <c r="A63" t="s">
        <v>342</v>
      </c>
      <c r="B63" s="40">
        <f>IFERROR(B22/B38,"")</f>
        <v>10.574553924534673</v>
      </c>
      <c r="C63" s="40">
        <f>IF(C38&gt;0,IFERROR(B22/C38,""),"")</f>
        <v>10.575296108291033</v>
      </c>
    </row>
    <row r="64" spans="1:6" x14ac:dyDescent="0.25">
      <c r="A64" t="s">
        <v>343</v>
      </c>
      <c r="B64" s="31">
        <f>IFERROR(B61/B7,"")</f>
        <v>11476.025172413792</v>
      </c>
      <c r="C64" s="31">
        <f>IF(C61="","",IFERROR(C61/B7,""))</f>
        <v>9325.362000000001</v>
      </c>
    </row>
    <row r="66" spans="1:6" x14ac:dyDescent="0.25">
      <c r="A66" s="34" t="s">
        <v>344</v>
      </c>
      <c r="B66" s="35"/>
      <c r="C66" s="35"/>
      <c r="D66" s="35"/>
      <c r="E66" s="35"/>
      <c r="F66" s="35"/>
    </row>
    <row r="67" spans="1:6" x14ac:dyDescent="0.25">
      <c r="A67" t="s">
        <v>345</v>
      </c>
      <c r="B67" s="31">
        <f>IFERROR(B22*Assumptions!$B$20,"")</f>
        <v>3345000</v>
      </c>
    </row>
    <row r="68" spans="1:6" x14ac:dyDescent="0.25">
      <c r="A68" t="s">
        <v>346</v>
      </c>
      <c r="B68" s="31">
        <f>IF(C61="","",IFERROR(PV(Assumptions!$B$22/12,Assumptions!$B$23*12,-C61/Assumptions!$B$21/12),""))</f>
        <v>2928135.3822038136</v>
      </c>
    </row>
    <row r="69" spans="1:6" x14ac:dyDescent="0.25">
      <c r="A69" s="42" t="s">
        <v>347</v>
      </c>
      <c r="B69" s="31">
        <f>IFERROR(MIN(B67,B68),"")</f>
        <v>2928135.3822038136</v>
      </c>
    </row>
    <row r="70" spans="1:6" x14ac:dyDescent="0.25">
      <c r="A70" t="s">
        <v>348</v>
      </c>
      <c r="B70" s="31">
        <f>IFERROR(B22-B69,"")</f>
        <v>2646864.6177961864</v>
      </c>
    </row>
    <row r="71" spans="1:6" x14ac:dyDescent="0.25">
      <c r="A71" t="s">
        <v>349</v>
      </c>
      <c r="B71" s="31">
        <f>IFERROR(-PMT(Assumptions!$B$22/12,Assumptions!$B$23*12,B69)*12,"")</f>
        <v>216348.39839999928</v>
      </c>
    </row>
    <row r="72" spans="1:6" x14ac:dyDescent="0.25">
      <c r="A72" t="s">
        <v>350</v>
      </c>
      <c r="B72" s="40">
        <f>IFERROR(C61/B71,"")</f>
        <v>1.2500000000000042</v>
      </c>
    </row>
    <row r="73" spans="1:6" x14ac:dyDescent="0.25">
      <c r="A73" t="s">
        <v>351</v>
      </c>
      <c r="B73" s="31">
        <f>IFERROR(C61-B71,"")</f>
        <v>54087.099600000744</v>
      </c>
    </row>
    <row r="74" spans="1:6" x14ac:dyDescent="0.25">
      <c r="A74" t="s">
        <v>352</v>
      </c>
      <c r="B74" s="39">
        <f>IFERROR(B73/B70,"")</f>
        <v>2.0434403496252241E-2</v>
      </c>
    </row>
    <row r="76" spans="1:6" x14ac:dyDescent="0.25">
      <c r="A76" s="26" t="s">
        <v>353</v>
      </c>
    </row>
  </sheetData>
  <hyperlinks>
    <hyperlink ref="A3" r:id="rId1" xr:uid="{00000000-0004-0000-0600-000000000000}"/>
  </hyperlinks>
  <pageMargins left="0.75" right="0.75" top="1" bottom="1" header="0.5" footer="0.5"/>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74"/>
  <sheetViews>
    <sheetView showGridLines="0" workbookViewId="0">
      <pane ySplit="5" topLeftCell="A6" activePane="bottomLeft" state="frozen"/>
      <selection pane="bottomLeft"/>
    </sheetView>
  </sheetViews>
  <sheetFormatPr defaultRowHeight="15" x14ac:dyDescent="0.25"/>
  <cols>
    <col min="1" max="1" width="38" customWidth="1"/>
    <col min="2" max="5" width="16" customWidth="1"/>
    <col min="6" max="6" width="48" customWidth="1"/>
    <col min="7" max="7" width="12" customWidth="1"/>
  </cols>
  <sheetData>
    <row r="1" spans="1:3" ht="19.5" x14ac:dyDescent="0.3">
      <c r="A1" s="1" t="s">
        <v>67</v>
      </c>
    </row>
    <row r="2" spans="1:3" x14ac:dyDescent="0.25">
      <c r="A2" s="32" t="s">
        <v>370</v>
      </c>
    </row>
    <row r="3" spans="1:3" x14ac:dyDescent="0.25">
      <c r="A3" s="33" t="s">
        <v>271</v>
      </c>
      <c r="B3" s="26" t="s">
        <v>272</v>
      </c>
    </row>
    <row r="4" spans="1:3" x14ac:dyDescent="0.25">
      <c r="A4" s="47" t="s">
        <v>371</v>
      </c>
    </row>
    <row r="6" spans="1:3" x14ac:dyDescent="0.25">
      <c r="A6" s="34" t="s">
        <v>273</v>
      </c>
      <c r="B6" s="35"/>
      <c r="C6" s="35"/>
    </row>
    <row r="7" spans="1:3" x14ac:dyDescent="0.25">
      <c r="A7" t="s">
        <v>7</v>
      </c>
      <c r="B7" s="36">
        <v>12</v>
      </c>
    </row>
    <row r="8" spans="1:3" x14ac:dyDescent="0.25">
      <c r="A8" t="s">
        <v>274</v>
      </c>
      <c r="B8" s="36">
        <v>12680</v>
      </c>
    </row>
    <row r="9" spans="1:3" x14ac:dyDescent="0.25">
      <c r="A9" t="s">
        <v>10</v>
      </c>
      <c r="B9" s="36">
        <v>12632</v>
      </c>
    </row>
    <row r="10" spans="1:3" x14ac:dyDescent="0.25">
      <c r="A10" t="s">
        <v>275</v>
      </c>
      <c r="B10" s="37">
        <v>0.28999999999999998</v>
      </c>
    </row>
    <row r="11" spans="1:3" x14ac:dyDescent="0.25">
      <c r="A11" t="s">
        <v>8</v>
      </c>
      <c r="B11">
        <v>1961</v>
      </c>
    </row>
    <row r="12" spans="1:3" x14ac:dyDescent="0.25">
      <c r="A12" t="s">
        <v>276</v>
      </c>
      <c r="B12" t="s">
        <v>355</v>
      </c>
    </row>
    <row r="13" spans="1:3" x14ac:dyDescent="0.25">
      <c r="A13" t="s">
        <v>278</v>
      </c>
      <c r="B13" t="s">
        <v>372</v>
      </c>
    </row>
    <row r="14" spans="1:3" x14ac:dyDescent="0.25">
      <c r="A14" t="s">
        <v>280</v>
      </c>
      <c r="B14" t="s">
        <v>34</v>
      </c>
    </row>
    <row r="15" spans="1:3" x14ac:dyDescent="0.25">
      <c r="A15" t="s">
        <v>281</v>
      </c>
      <c r="B15" t="s">
        <v>361</v>
      </c>
    </row>
    <row r="16" spans="1:3" x14ac:dyDescent="0.25">
      <c r="A16" t="s">
        <v>283</v>
      </c>
      <c r="B16" s="31">
        <v>2842089</v>
      </c>
    </row>
    <row r="17" spans="1:6" x14ac:dyDescent="0.25">
      <c r="A17" t="s">
        <v>284</v>
      </c>
      <c r="B17" t="s">
        <v>70</v>
      </c>
    </row>
    <row r="18" spans="1:6" x14ac:dyDescent="0.25">
      <c r="A18" t="s">
        <v>285</v>
      </c>
      <c r="B18" t="s">
        <v>71</v>
      </c>
    </row>
    <row r="19" spans="1:6" x14ac:dyDescent="0.25">
      <c r="A19" t="s">
        <v>286</v>
      </c>
      <c r="B19" t="s">
        <v>51</v>
      </c>
    </row>
    <row r="21" spans="1:6" x14ac:dyDescent="0.25">
      <c r="A21" s="34" t="s">
        <v>287</v>
      </c>
      <c r="B21" s="35"/>
      <c r="C21" s="35"/>
    </row>
    <row r="22" spans="1:6" x14ac:dyDescent="0.25">
      <c r="A22" t="s">
        <v>11</v>
      </c>
      <c r="B22" s="28">
        <v>3375000</v>
      </c>
    </row>
    <row r="23" spans="1:6" x14ac:dyDescent="0.25">
      <c r="A23" t="s">
        <v>288</v>
      </c>
      <c r="B23" s="31">
        <f>IFERROR(B22/B7,"")</f>
        <v>281250</v>
      </c>
    </row>
    <row r="24" spans="1:6" x14ac:dyDescent="0.25">
      <c r="A24" t="s">
        <v>289</v>
      </c>
      <c r="B24" s="38">
        <f>IFERROR(B22/B8,"")</f>
        <v>266.16719242902207</v>
      </c>
    </row>
    <row r="25" spans="1:6" x14ac:dyDescent="0.25">
      <c r="A25" t="s">
        <v>290</v>
      </c>
      <c r="B25" s="39">
        <v>5.8000000000000003E-2</v>
      </c>
    </row>
    <row r="26" spans="1:6" x14ac:dyDescent="0.25">
      <c r="A26" t="s">
        <v>291</v>
      </c>
      <c r="B26" s="40">
        <v>10.29</v>
      </c>
    </row>
    <row r="28" spans="1:6" x14ac:dyDescent="0.25">
      <c r="A28" s="34" t="s">
        <v>292</v>
      </c>
      <c r="B28" s="35"/>
      <c r="C28" s="35"/>
      <c r="D28" s="35"/>
      <c r="E28" s="35"/>
      <c r="F28" s="35"/>
    </row>
    <row r="29" spans="1:6" x14ac:dyDescent="0.25">
      <c r="A29" s="41" t="s">
        <v>293</v>
      </c>
      <c r="B29" s="41" t="s">
        <v>294</v>
      </c>
      <c r="C29" s="41" t="s">
        <v>295</v>
      </c>
      <c r="D29" s="41" t="s">
        <v>296</v>
      </c>
      <c r="E29" s="41" t="s">
        <v>297</v>
      </c>
      <c r="F29" s="41" t="s">
        <v>298</v>
      </c>
    </row>
    <row r="30" spans="1:6" x14ac:dyDescent="0.25">
      <c r="A30" t="s">
        <v>257</v>
      </c>
      <c r="B30" s="36">
        <v>2</v>
      </c>
      <c r="C30" s="28">
        <v>1523</v>
      </c>
      <c r="D30" s="31">
        <f>B30*C30</f>
        <v>3046</v>
      </c>
      <c r="E30" s="31">
        <f>D30*12</f>
        <v>36552</v>
      </c>
      <c r="F30" s="26" t="s">
        <v>38</v>
      </c>
    </row>
    <row r="31" spans="1:6" x14ac:dyDescent="0.25">
      <c r="A31" t="s">
        <v>373</v>
      </c>
      <c r="B31" s="36">
        <v>10</v>
      </c>
      <c r="C31" s="28">
        <v>2276</v>
      </c>
      <c r="D31" s="31">
        <f>B31*C31</f>
        <v>22760</v>
      </c>
      <c r="E31" s="31">
        <f>D31*12</f>
        <v>273120</v>
      </c>
      <c r="F31" s="26" t="s">
        <v>38</v>
      </c>
    </row>
    <row r="32" spans="1:6" x14ac:dyDescent="0.25">
      <c r="A32" s="42" t="s">
        <v>303</v>
      </c>
      <c r="B32" s="43">
        <f>SUM(B30:B31)</f>
        <v>12</v>
      </c>
      <c r="C32" s="44">
        <f>IFERROR(D32/B32,"")</f>
        <v>2150.5</v>
      </c>
      <c r="D32" s="44">
        <f>SUM(D30:D31)</f>
        <v>25806</v>
      </c>
      <c r="E32" s="44">
        <f>SUM(E30:E31)</f>
        <v>309672</v>
      </c>
    </row>
    <row r="34" spans="1:6" x14ac:dyDescent="0.25">
      <c r="A34" s="34" t="s">
        <v>304</v>
      </c>
      <c r="B34" s="35"/>
      <c r="C34" s="35"/>
      <c r="D34" s="35"/>
      <c r="E34" s="35"/>
      <c r="F34" s="35"/>
    </row>
    <row r="35" spans="1:6" x14ac:dyDescent="0.25">
      <c r="A35" s="45"/>
      <c r="B35" s="45" t="s">
        <v>305</v>
      </c>
      <c r="C35" s="45" t="s">
        <v>306</v>
      </c>
      <c r="D35" s="45"/>
      <c r="E35" s="45"/>
      <c r="F35" s="45" t="s">
        <v>307</v>
      </c>
    </row>
    <row r="36" spans="1:6" x14ac:dyDescent="0.25">
      <c r="A36" t="s">
        <v>308</v>
      </c>
      <c r="B36" s="31">
        <v>327988.33819241979</v>
      </c>
      <c r="C36" s="31">
        <f>E32</f>
        <v>309672</v>
      </c>
      <c r="F36" s="26" t="s">
        <v>309</v>
      </c>
    </row>
    <row r="37" spans="1:6" x14ac:dyDescent="0.25">
      <c r="A37" t="s">
        <v>310</v>
      </c>
      <c r="B37" s="31">
        <v>0</v>
      </c>
      <c r="C37" s="28">
        <v>0</v>
      </c>
    </row>
    <row r="38" spans="1:6" x14ac:dyDescent="0.25">
      <c r="A38" s="42" t="s">
        <v>311</v>
      </c>
      <c r="B38" s="31">
        <f>B36+B37</f>
        <v>327988.33819241979</v>
      </c>
      <c r="C38" s="31">
        <f>C36+C37</f>
        <v>309672</v>
      </c>
    </row>
    <row r="39" spans="1:6" x14ac:dyDescent="0.25">
      <c r="A39" t="s">
        <v>312</v>
      </c>
      <c r="B39" s="31">
        <f>-B36*0.03</f>
        <v>-9839.6501457725935</v>
      </c>
      <c r="C39" s="31">
        <f>-C36*Assumptions!$B$3</f>
        <v>-9290.16</v>
      </c>
      <c r="F39" s="26" t="s">
        <v>313</v>
      </c>
    </row>
    <row r="40" spans="1:6" x14ac:dyDescent="0.25">
      <c r="A40" s="42" t="s">
        <v>314</v>
      </c>
      <c r="B40" s="44">
        <f>B38+B39</f>
        <v>318148.68804664718</v>
      </c>
      <c r="C40" s="44">
        <f>C38+C39</f>
        <v>300381.84000000003</v>
      </c>
    </row>
    <row r="42" spans="1:6" x14ac:dyDescent="0.25">
      <c r="A42" s="34" t="s">
        <v>315</v>
      </c>
      <c r="B42" s="35"/>
      <c r="C42" s="35"/>
      <c r="D42" s="35"/>
      <c r="E42" s="35"/>
      <c r="F42" s="35"/>
    </row>
    <row r="43" spans="1:6" x14ac:dyDescent="0.25">
      <c r="A43" s="45" t="s">
        <v>316</v>
      </c>
      <c r="B43" s="45" t="s">
        <v>305</v>
      </c>
      <c r="C43" s="45" t="s">
        <v>317</v>
      </c>
      <c r="D43" s="45" t="s">
        <v>306</v>
      </c>
      <c r="E43" s="45" t="s">
        <v>318</v>
      </c>
      <c r="F43" s="45" t="s">
        <v>307</v>
      </c>
    </row>
    <row r="44" spans="1:6" x14ac:dyDescent="0.25">
      <c r="A44" t="s">
        <v>319</v>
      </c>
      <c r="B44" s="31"/>
      <c r="C44" s="31">
        <f>B22*Assumptions!$B$15</f>
        <v>42187.5</v>
      </c>
      <c r="D44" s="46">
        <f>C44</f>
        <v>42187.5</v>
      </c>
      <c r="E44" s="31" t="str">
        <f t="shared" ref="E44:E52" si="0">IF(ISNUMBER(B44),D44-B44,"")</f>
        <v/>
      </c>
      <c r="F44" s="26" t="s">
        <v>358</v>
      </c>
    </row>
    <row r="45" spans="1:6" x14ac:dyDescent="0.25">
      <c r="A45" t="s">
        <v>321</v>
      </c>
      <c r="B45" s="31"/>
      <c r="C45" s="31">
        <f>B7*Assumptions!$B$5+B8*Assumptions!$B$6</f>
        <v>15080</v>
      </c>
      <c r="D45" s="46">
        <f t="shared" ref="D45:D51" si="1">IF(ISNUMBER(B45),MAX(B45,C45),C45)</f>
        <v>15080</v>
      </c>
      <c r="E45" s="31" t="str">
        <f t="shared" si="0"/>
        <v/>
      </c>
      <c r="F45" s="26" t="s">
        <v>322</v>
      </c>
    </row>
    <row r="46" spans="1:6" x14ac:dyDescent="0.25">
      <c r="A46" t="s">
        <v>323</v>
      </c>
      <c r="B46" s="31"/>
      <c r="C46" s="31">
        <f>C40*Assumptions!$B$4</f>
        <v>15019.092000000002</v>
      </c>
      <c r="D46" s="46">
        <f t="shared" si="1"/>
        <v>15019.092000000002</v>
      </c>
      <c r="E46" s="31" t="str">
        <f t="shared" si="0"/>
        <v/>
      </c>
      <c r="F46" s="26" t="s">
        <v>324</v>
      </c>
    </row>
    <row r="47" spans="1:6" x14ac:dyDescent="0.25">
      <c r="A47" t="s">
        <v>325</v>
      </c>
      <c r="B47" s="31"/>
      <c r="C47" s="31">
        <f>B7*Assumptions!$B$7</f>
        <v>14400</v>
      </c>
      <c r="D47" s="46">
        <f t="shared" si="1"/>
        <v>14400</v>
      </c>
      <c r="E47" s="31" t="str">
        <f t="shared" si="0"/>
        <v/>
      </c>
      <c r="F47" s="26" t="s">
        <v>326</v>
      </c>
    </row>
    <row r="48" spans="1:6" x14ac:dyDescent="0.25">
      <c r="A48" t="s">
        <v>327</v>
      </c>
      <c r="B48" s="31"/>
      <c r="C48" s="31">
        <f>B7*Assumptions!$B$9</f>
        <v>18000</v>
      </c>
      <c r="D48" s="46">
        <f t="shared" si="1"/>
        <v>18000</v>
      </c>
      <c r="E48" s="31" t="str">
        <f t="shared" si="0"/>
        <v/>
      </c>
      <c r="F48" s="26" t="s">
        <v>328</v>
      </c>
    </row>
    <row r="49" spans="1:6" x14ac:dyDescent="0.25">
      <c r="A49" t="s">
        <v>329</v>
      </c>
      <c r="B49" s="31"/>
      <c r="C49" s="31">
        <f>B7*Assumptions!$B$12</f>
        <v>4800</v>
      </c>
      <c r="D49" s="46">
        <f t="shared" si="1"/>
        <v>4800</v>
      </c>
      <c r="E49" s="31" t="str">
        <f t="shared" si="0"/>
        <v/>
      </c>
      <c r="F49" s="26" t="s">
        <v>330</v>
      </c>
    </row>
    <row r="50" spans="1:6" x14ac:dyDescent="0.25">
      <c r="A50" t="s">
        <v>331</v>
      </c>
      <c r="B50" s="31"/>
      <c r="C50" s="31">
        <f>B7*Assumptions!$B$13</f>
        <v>3000</v>
      </c>
      <c r="D50" s="46">
        <f t="shared" si="1"/>
        <v>3000</v>
      </c>
      <c r="E50" s="31" t="str">
        <f t="shared" si="0"/>
        <v/>
      </c>
      <c r="F50" s="26" t="s">
        <v>332</v>
      </c>
    </row>
    <row r="51" spans="1:6" x14ac:dyDescent="0.25">
      <c r="A51" t="s">
        <v>333</v>
      </c>
      <c r="B51" s="31"/>
      <c r="C51" s="31">
        <f>B7*Assumptions!$B$14</f>
        <v>3600</v>
      </c>
      <c r="D51" s="46">
        <f t="shared" si="1"/>
        <v>3600</v>
      </c>
      <c r="E51" s="31" t="str">
        <f t="shared" si="0"/>
        <v/>
      </c>
      <c r="F51" s="26" t="s">
        <v>330</v>
      </c>
    </row>
    <row r="52" spans="1:6" x14ac:dyDescent="0.25">
      <c r="A52" s="42" t="s">
        <v>334</v>
      </c>
      <c r="B52" s="44">
        <f>B40-B22*B25</f>
        <v>122398.68804664718</v>
      </c>
      <c r="C52" s="44">
        <f>SUM(C44:C51)</f>
        <v>116086.592</v>
      </c>
      <c r="D52" s="44">
        <f>SUM(D44:D51)</f>
        <v>116086.592</v>
      </c>
      <c r="E52" s="44">
        <f t="shared" si="0"/>
        <v>-6312.0960466471734</v>
      </c>
      <c r="F52" s="26" t="s">
        <v>335</v>
      </c>
    </row>
    <row r="53" spans="1:6" x14ac:dyDescent="0.25">
      <c r="A53" t="s">
        <v>336</v>
      </c>
      <c r="B53" s="31">
        <f>IFERROR(B52/B7,"")</f>
        <v>10199.890670553932</v>
      </c>
      <c r="C53" s="31">
        <f>IFERROR(C52/B7,"")</f>
        <v>9673.8826666666664</v>
      </c>
      <c r="D53" s="31">
        <f>IFERROR(D52/B7,"")</f>
        <v>9673.8826666666664</v>
      </c>
    </row>
    <row r="54" spans="1:6" x14ac:dyDescent="0.25">
      <c r="A54" t="s">
        <v>337</v>
      </c>
      <c r="B54" s="39">
        <f>IFERROR(B52/B40,"")</f>
        <v>0.38472164948453597</v>
      </c>
      <c r="C54" s="39">
        <f>IFERROR(C52/C40,"")</f>
        <v>0.38646341603074275</v>
      </c>
      <c r="D54" s="39">
        <f>IF(C36&gt;0,IFERROR(D52/C40,""),"")</f>
        <v>0.38646341603074275</v>
      </c>
    </row>
    <row r="55" spans="1:6" x14ac:dyDescent="0.25">
      <c r="A55" s="42" t="s">
        <v>18</v>
      </c>
      <c r="B55" s="47" t="str">
        <f>IF(ISNUMBER(B52),IF(D52&gt;B52*(1+Assumptions!$B$24),"OM EXPENSES LIGHT","OM expenses reasonable"),"OM expenses not published")</f>
        <v>OM expenses reasonable</v>
      </c>
    </row>
    <row r="57" spans="1:6" x14ac:dyDescent="0.25">
      <c r="A57" s="34" t="s">
        <v>338</v>
      </c>
      <c r="B57" s="35"/>
      <c r="C57" s="35"/>
      <c r="D57" s="35"/>
      <c r="E57" s="35"/>
      <c r="F57" s="35"/>
    </row>
    <row r="58" spans="1:6" x14ac:dyDescent="0.25">
      <c r="A58" s="45"/>
      <c r="B58" s="45" t="s">
        <v>305</v>
      </c>
      <c r="C58" s="45" t="s">
        <v>306</v>
      </c>
      <c r="D58" s="45"/>
      <c r="E58" s="45"/>
      <c r="F58" s="45" t="s">
        <v>307</v>
      </c>
    </row>
    <row r="59" spans="1:6" x14ac:dyDescent="0.25">
      <c r="A59" s="42" t="s">
        <v>339</v>
      </c>
      <c r="B59" s="44">
        <f>B40-B52</f>
        <v>195750</v>
      </c>
      <c r="C59" s="44">
        <f>IF(C36&gt;0,C40-D52,"")</f>
        <v>184295.24800000002</v>
      </c>
    </row>
    <row r="60" spans="1:6" x14ac:dyDescent="0.25">
      <c r="A60" s="42" t="s">
        <v>340</v>
      </c>
      <c r="B60" s="39">
        <f>IFERROR(B59/B22,"")</f>
        <v>5.8000000000000003E-2</v>
      </c>
      <c r="C60" s="39">
        <f>IF(C59="","",IFERROR(C59/B22,""))</f>
        <v>5.4605999407407416E-2</v>
      </c>
      <c r="F60" s="26" t="s">
        <v>341</v>
      </c>
    </row>
    <row r="61" spans="1:6" x14ac:dyDescent="0.25">
      <c r="A61" t="s">
        <v>342</v>
      </c>
      <c r="B61" s="40">
        <f>IFERROR(B22/B36,"")</f>
        <v>10.290000000000001</v>
      </c>
      <c r="C61" s="40">
        <f>IF(C36&gt;0,IFERROR(B22/C36,""),"")</f>
        <v>10.898628225993955</v>
      </c>
    </row>
    <row r="62" spans="1:6" x14ac:dyDescent="0.25">
      <c r="A62" t="s">
        <v>343</v>
      </c>
      <c r="B62" s="31">
        <f>IFERROR(B59/B7,"")</f>
        <v>16312.5</v>
      </c>
      <c r="C62" s="31">
        <f>IF(C59="","",IFERROR(C59/B7,""))</f>
        <v>15357.937333333335</v>
      </c>
    </row>
    <row r="64" spans="1:6" x14ac:dyDescent="0.25">
      <c r="A64" s="34" t="s">
        <v>344</v>
      </c>
      <c r="B64" s="35"/>
      <c r="C64" s="35"/>
      <c r="D64" s="35"/>
      <c r="E64" s="35"/>
      <c r="F64" s="35"/>
    </row>
    <row r="65" spans="1:2" x14ac:dyDescent="0.25">
      <c r="A65" t="s">
        <v>345</v>
      </c>
      <c r="B65" s="31">
        <f>IFERROR(B22*Assumptions!$B$20,"")</f>
        <v>2025000</v>
      </c>
    </row>
    <row r="66" spans="1:2" x14ac:dyDescent="0.25">
      <c r="A66" t="s">
        <v>346</v>
      </c>
      <c r="B66" s="31">
        <f>IF(C59="","",IFERROR(PV(Assumptions!$B$22/12,Assumptions!$B$23*12,-C59/Assumptions!$B$21/12),""))</f>
        <v>1995453.4091557269</v>
      </c>
    </row>
    <row r="67" spans="1:2" x14ac:dyDescent="0.25">
      <c r="A67" s="42" t="s">
        <v>347</v>
      </c>
      <c r="B67" s="31">
        <f>IFERROR(MIN(B65,B66),"")</f>
        <v>1995453.4091557269</v>
      </c>
    </row>
    <row r="68" spans="1:2" x14ac:dyDescent="0.25">
      <c r="A68" t="s">
        <v>348</v>
      </c>
      <c r="B68" s="31">
        <f>IFERROR(B22-B67,"")</f>
        <v>1379546.5908442731</v>
      </c>
    </row>
    <row r="69" spans="1:2" x14ac:dyDescent="0.25">
      <c r="A69" t="s">
        <v>349</v>
      </c>
      <c r="B69" s="31">
        <f>IFERROR(-PMT(Assumptions!$B$22/12,Assumptions!$B$23*12,B67)*12,"")</f>
        <v>147436.19839999956</v>
      </c>
    </row>
    <row r="70" spans="1:2" x14ac:dyDescent="0.25">
      <c r="A70" t="s">
        <v>350</v>
      </c>
      <c r="B70" s="40">
        <f>IFERROR(C59/B69,"")</f>
        <v>1.250000000000004</v>
      </c>
    </row>
    <row r="71" spans="1:2" x14ac:dyDescent="0.25">
      <c r="A71" t="s">
        <v>351</v>
      </c>
      <c r="B71" s="31">
        <f>IFERROR(C59-B69,"")</f>
        <v>36859.049600000464</v>
      </c>
    </row>
    <row r="72" spans="1:2" x14ac:dyDescent="0.25">
      <c r="A72" t="s">
        <v>352</v>
      </c>
      <c r="B72" s="39">
        <f>IFERROR(B71/B68,"")</f>
        <v>2.6718234704521997E-2</v>
      </c>
    </row>
    <row r="74" spans="1:2" x14ac:dyDescent="0.25">
      <c r="A74" s="26" t="s">
        <v>353</v>
      </c>
    </row>
  </sheetData>
  <hyperlinks>
    <hyperlink ref="A3" r:id="rId1" xr:uid="{00000000-0004-0000-0700-000000000000}"/>
  </hyperlinks>
  <pageMargins left="0.75" right="0.75" top="1" bottom="1" header="0.5" footer="0.5"/>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74"/>
  <sheetViews>
    <sheetView showGridLines="0" workbookViewId="0">
      <pane ySplit="5" topLeftCell="A6" activePane="bottomLeft" state="frozen"/>
      <selection pane="bottomLeft"/>
    </sheetView>
  </sheetViews>
  <sheetFormatPr defaultRowHeight="15" x14ac:dyDescent="0.25"/>
  <cols>
    <col min="1" max="1" width="38" customWidth="1"/>
    <col min="2" max="5" width="16" customWidth="1"/>
    <col min="6" max="6" width="48" customWidth="1"/>
    <col min="7" max="7" width="12" customWidth="1"/>
  </cols>
  <sheetData>
    <row r="1" spans="1:3" ht="19.5" x14ac:dyDescent="0.3">
      <c r="A1" s="1" t="s">
        <v>73</v>
      </c>
    </row>
    <row r="2" spans="1:3" x14ac:dyDescent="0.25">
      <c r="A2" s="32" t="s">
        <v>366</v>
      </c>
    </row>
    <row r="3" spans="1:3" x14ac:dyDescent="0.25">
      <c r="A3" s="33" t="s">
        <v>271</v>
      </c>
      <c r="B3" s="26" t="s">
        <v>272</v>
      </c>
    </row>
    <row r="4" spans="1:3" x14ac:dyDescent="0.25">
      <c r="A4" s="47" t="s">
        <v>374</v>
      </c>
    </row>
    <row r="6" spans="1:3" x14ac:dyDescent="0.25">
      <c r="A6" s="34" t="s">
        <v>273</v>
      </c>
      <c r="B6" s="35"/>
      <c r="C6" s="35"/>
    </row>
    <row r="7" spans="1:3" x14ac:dyDescent="0.25">
      <c r="A7" t="s">
        <v>7</v>
      </c>
      <c r="B7" s="36">
        <v>13</v>
      </c>
    </row>
    <row r="8" spans="1:3" x14ac:dyDescent="0.25">
      <c r="A8" t="s">
        <v>274</v>
      </c>
      <c r="B8" s="36">
        <v>11831</v>
      </c>
    </row>
    <row r="9" spans="1:3" x14ac:dyDescent="0.25">
      <c r="A9" t="s">
        <v>10</v>
      </c>
      <c r="B9" s="36">
        <v>10019</v>
      </c>
    </row>
    <row r="10" spans="1:3" x14ac:dyDescent="0.25">
      <c r="A10" t="s">
        <v>275</v>
      </c>
      <c r="B10" s="37">
        <v>0.23</v>
      </c>
    </row>
    <row r="11" spans="1:3" x14ac:dyDescent="0.25">
      <c r="A11" t="s">
        <v>8</v>
      </c>
      <c r="B11">
        <v>1971</v>
      </c>
    </row>
    <row r="12" spans="1:3" x14ac:dyDescent="0.25">
      <c r="A12" t="s">
        <v>276</v>
      </c>
      <c r="B12" t="s">
        <v>355</v>
      </c>
    </row>
    <row r="13" spans="1:3" x14ac:dyDescent="0.25">
      <c r="A13" t="s">
        <v>278</v>
      </c>
      <c r="B13" t="s">
        <v>375</v>
      </c>
    </row>
    <row r="14" spans="1:3" x14ac:dyDescent="0.25">
      <c r="A14" t="s">
        <v>280</v>
      </c>
      <c r="B14" t="s">
        <v>34</v>
      </c>
    </row>
    <row r="15" spans="1:3" x14ac:dyDescent="0.25">
      <c r="A15" t="s">
        <v>281</v>
      </c>
      <c r="B15" t="s">
        <v>376</v>
      </c>
    </row>
    <row r="16" spans="1:3" x14ac:dyDescent="0.25">
      <c r="A16" t="s">
        <v>283</v>
      </c>
      <c r="B16" s="31">
        <v>5354487</v>
      </c>
    </row>
    <row r="17" spans="1:6" x14ac:dyDescent="0.25">
      <c r="A17" t="s">
        <v>284</v>
      </c>
      <c r="B17" t="s">
        <v>43</v>
      </c>
    </row>
    <row r="18" spans="1:6" x14ac:dyDescent="0.25">
      <c r="A18" t="s">
        <v>285</v>
      </c>
      <c r="B18" t="s">
        <v>59</v>
      </c>
    </row>
    <row r="19" spans="1:6" x14ac:dyDescent="0.25">
      <c r="A19" t="s">
        <v>286</v>
      </c>
      <c r="B19" t="s">
        <v>74</v>
      </c>
    </row>
    <row r="21" spans="1:6" x14ac:dyDescent="0.25">
      <c r="A21" s="34" t="s">
        <v>287</v>
      </c>
      <c r="B21" s="35"/>
      <c r="C21" s="35"/>
    </row>
    <row r="22" spans="1:6" x14ac:dyDescent="0.25">
      <c r="A22" t="s">
        <v>11</v>
      </c>
      <c r="B22" s="28">
        <v>4595000</v>
      </c>
    </row>
    <row r="23" spans="1:6" x14ac:dyDescent="0.25">
      <c r="A23" t="s">
        <v>288</v>
      </c>
      <c r="B23" s="31">
        <f>IFERROR(B22/B7,"")</f>
        <v>353461.53846153844</v>
      </c>
    </row>
    <row r="24" spans="1:6" x14ac:dyDescent="0.25">
      <c r="A24" t="s">
        <v>289</v>
      </c>
      <c r="B24" s="38">
        <f>IFERROR(B22/B8,"")</f>
        <v>388.38644239709237</v>
      </c>
    </row>
    <row r="25" spans="1:6" x14ac:dyDescent="0.25">
      <c r="A25" t="s">
        <v>290</v>
      </c>
      <c r="B25" s="39">
        <v>5.7099999999999998E-2</v>
      </c>
    </row>
    <row r="26" spans="1:6" x14ac:dyDescent="0.25">
      <c r="A26" t="s">
        <v>291</v>
      </c>
      <c r="B26" s="40">
        <v>11.21</v>
      </c>
    </row>
    <row r="28" spans="1:6" x14ac:dyDescent="0.25">
      <c r="A28" s="34" t="s">
        <v>292</v>
      </c>
      <c r="B28" s="35"/>
      <c r="C28" s="35"/>
      <c r="D28" s="35"/>
      <c r="E28" s="35"/>
      <c r="F28" s="35"/>
    </row>
    <row r="29" spans="1:6" x14ac:dyDescent="0.25">
      <c r="A29" s="41" t="s">
        <v>293</v>
      </c>
      <c r="B29" s="41" t="s">
        <v>294</v>
      </c>
      <c r="C29" s="41" t="s">
        <v>295</v>
      </c>
      <c r="D29" s="41" t="s">
        <v>296</v>
      </c>
      <c r="E29" s="41" t="s">
        <v>297</v>
      </c>
      <c r="F29" s="41" t="s">
        <v>298</v>
      </c>
    </row>
    <row r="30" spans="1:6" x14ac:dyDescent="0.25">
      <c r="A30" t="s">
        <v>299</v>
      </c>
      <c r="B30" s="36">
        <v>5</v>
      </c>
      <c r="C30" s="48">
        <v>3126</v>
      </c>
      <c r="D30" s="31">
        <f>B30*C30</f>
        <v>15630</v>
      </c>
      <c r="E30" s="31">
        <f>D30*12</f>
        <v>187560</v>
      </c>
      <c r="F30" s="26" t="s">
        <v>45</v>
      </c>
    </row>
    <row r="31" spans="1:6" x14ac:dyDescent="0.25">
      <c r="A31" t="s">
        <v>302</v>
      </c>
      <c r="B31" s="36">
        <v>8</v>
      </c>
      <c r="C31" s="48">
        <v>2316</v>
      </c>
      <c r="D31" s="31">
        <f>B31*C31</f>
        <v>18528</v>
      </c>
      <c r="E31" s="31">
        <f>D31*12</f>
        <v>222336</v>
      </c>
      <c r="F31" s="26" t="s">
        <v>45</v>
      </c>
    </row>
    <row r="32" spans="1:6" x14ac:dyDescent="0.25">
      <c r="A32" s="42" t="s">
        <v>303</v>
      </c>
      <c r="B32" s="43">
        <f>SUM(B30:B31)</f>
        <v>13</v>
      </c>
      <c r="C32" s="44">
        <f>IFERROR(D32/B32,"")</f>
        <v>2627.5384615384614</v>
      </c>
      <c r="D32" s="44">
        <f>SUM(D30:D31)</f>
        <v>34158</v>
      </c>
      <c r="E32" s="44">
        <f>SUM(E30:E31)</f>
        <v>409896</v>
      </c>
    </row>
    <row r="34" spans="1:6" x14ac:dyDescent="0.25">
      <c r="A34" s="34" t="s">
        <v>304</v>
      </c>
      <c r="B34" s="35"/>
      <c r="C34" s="35"/>
      <c r="D34" s="35"/>
      <c r="E34" s="35"/>
      <c r="F34" s="35"/>
    </row>
    <row r="35" spans="1:6" x14ac:dyDescent="0.25">
      <c r="A35" s="45"/>
      <c r="B35" s="45" t="s">
        <v>305</v>
      </c>
      <c r="C35" s="45" t="s">
        <v>306</v>
      </c>
      <c r="D35" s="45"/>
      <c r="E35" s="45"/>
      <c r="F35" s="45" t="s">
        <v>307</v>
      </c>
    </row>
    <row r="36" spans="1:6" x14ac:dyDescent="0.25">
      <c r="A36" t="s">
        <v>308</v>
      </c>
      <c r="B36" s="31">
        <v>409901.87332738622</v>
      </c>
      <c r="C36" s="31">
        <f>E32</f>
        <v>409896</v>
      </c>
      <c r="F36" s="26" t="s">
        <v>309</v>
      </c>
    </row>
    <row r="37" spans="1:6" x14ac:dyDescent="0.25">
      <c r="A37" t="s">
        <v>310</v>
      </c>
      <c r="B37" s="31">
        <v>0</v>
      </c>
      <c r="C37" s="28">
        <v>0</v>
      </c>
    </row>
    <row r="38" spans="1:6" x14ac:dyDescent="0.25">
      <c r="A38" s="42" t="s">
        <v>311</v>
      </c>
      <c r="B38" s="31">
        <f>B36+B37</f>
        <v>409901.87332738622</v>
      </c>
      <c r="C38" s="31">
        <f>C36+C37</f>
        <v>409896</v>
      </c>
    </row>
    <row r="39" spans="1:6" x14ac:dyDescent="0.25">
      <c r="A39" t="s">
        <v>312</v>
      </c>
      <c r="B39" s="31">
        <f>-B36*0.03</f>
        <v>-12297.056199821585</v>
      </c>
      <c r="C39" s="31">
        <f>-C36*Assumptions!$B$3</f>
        <v>-12296.88</v>
      </c>
      <c r="F39" s="26" t="s">
        <v>313</v>
      </c>
    </row>
    <row r="40" spans="1:6" x14ac:dyDescent="0.25">
      <c r="A40" s="42" t="s">
        <v>314</v>
      </c>
      <c r="B40" s="44">
        <f>B38+B39</f>
        <v>397604.81712756463</v>
      </c>
      <c r="C40" s="44">
        <f>C38+C39</f>
        <v>397599.12</v>
      </c>
    </row>
    <row r="42" spans="1:6" x14ac:dyDescent="0.25">
      <c r="A42" s="34" t="s">
        <v>315</v>
      </c>
      <c r="B42" s="35"/>
      <c r="C42" s="35"/>
      <c r="D42" s="35"/>
      <c r="E42" s="35"/>
      <c r="F42" s="35"/>
    </row>
    <row r="43" spans="1:6" x14ac:dyDescent="0.25">
      <c r="A43" s="45" t="s">
        <v>316</v>
      </c>
      <c r="B43" s="45" t="s">
        <v>305</v>
      </c>
      <c r="C43" s="45" t="s">
        <v>317</v>
      </c>
      <c r="D43" s="45" t="s">
        <v>306</v>
      </c>
      <c r="E43" s="45" t="s">
        <v>318</v>
      </c>
      <c r="F43" s="45" t="s">
        <v>307</v>
      </c>
    </row>
    <row r="44" spans="1:6" x14ac:dyDescent="0.25">
      <c r="A44" t="s">
        <v>319</v>
      </c>
      <c r="B44" s="31"/>
      <c r="C44" s="31">
        <f>B22*Assumptions!$B$15</f>
        <v>57437.5</v>
      </c>
      <c r="D44" s="46">
        <f>C44</f>
        <v>57437.5</v>
      </c>
      <c r="E44" s="31" t="str">
        <f t="shared" ref="E44:E52" si="0">IF(ISNUMBER(B44),D44-B44,"")</f>
        <v/>
      </c>
      <c r="F44" s="26" t="s">
        <v>358</v>
      </c>
    </row>
    <row r="45" spans="1:6" x14ac:dyDescent="0.25">
      <c r="A45" t="s">
        <v>321</v>
      </c>
      <c r="B45" s="31"/>
      <c r="C45" s="31">
        <f>B7*Assumptions!$B$5+B8*Assumptions!$B$6</f>
        <v>14431</v>
      </c>
      <c r="D45" s="46">
        <f t="shared" ref="D45:D51" si="1">IF(ISNUMBER(B45),MAX(B45,C45),C45)</f>
        <v>14431</v>
      </c>
      <c r="E45" s="31" t="str">
        <f t="shared" si="0"/>
        <v/>
      </c>
      <c r="F45" s="26" t="s">
        <v>322</v>
      </c>
    </row>
    <row r="46" spans="1:6" x14ac:dyDescent="0.25">
      <c r="A46" t="s">
        <v>323</v>
      </c>
      <c r="B46" s="31"/>
      <c r="C46" s="31">
        <f>C40*Assumptions!$B$4</f>
        <v>19879.956000000002</v>
      </c>
      <c r="D46" s="46">
        <f t="shared" si="1"/>
        <v>19879.956000000002</v>
      </c>
      <c r="E46" s="31" t="str">
        <f t="shared" si="0"/>
        <v/>
      </c>
      <c r="F46" s="26" t="s">
        <v>324</v>
      </c>
    </row>
    <row r="47" spans="1:6" x14ac:dyDescent="0.25">
      <c r="A47" t="s">
        <v>325</v>
      </c>
      <c r="B47" s="31"/>
      <c r="C47" s="31">
        <f>B7*Assumptions!$B$7</f>
        <v>15600</v>
      </c>
      <c r="D47" s="46">
        <f t="shared" si="1"/>
        <v>15600</v>
      </c>
      <c r="E47" s="31" t="str">
        <f t="shared" si="0"/>
        <v/>
      </c>
      <c r="F47" s="26" t="s">
        <v>326</v>
      </c>
    </row>
    <row r="48" spans="1:6" x14ac:dyDescent="0.25">
      <c r="A48" t="s">
        <v>327</v>
      </c>
      <c r="B48" s="31"/>
      <c r="C48" s="31">
        <f>B7*Assumptions!$B$9</f>
        <v>19500</v>
      </c>
      <c r="D48" s="46">
        <f t="shared" si="1"/>
        <v>19500</v>
      </c>
      <c r="E48" s="31" t="str">
        <f t="shared" si="0"/>
        <v/>
      </c>
      <c r="F48" s="26" t="s">
        <v>328</v>
      </c>
    </row>
    <row r="49" spans="1:6" x14ac:dyDescent="0.25">
      <c r="A49" t="s">
        <v>329</v>
      </c>
      <c r="B49" s="31"/>
      <c r="C49" s="31">
        <f>B7*Assumptions!$B$12</f>
        <v>5200</v>
      </c>
      <c r="D49" s="46">
        <f t="shared" si="1"/>
        <v>5200</v>
      </c>
      <c r="E49" s="31" t="str">
        <f t="shared" si="0"/>
        <v/>
      </c>
      <c r="F49" s="26" t="s">
        <v>330</v>
      </c>
    </row>
    <row r="50" spans="1:6" x14ac:dyDescent="0.25">
      <c r="A50" t="s">
        <v>331</v>
      </c>
      <c r="B50" s="31"/>
      <c r="C50" s="31">
        <f>B7*Assumptions!$B$13</f>
        <v>3250</v>
      </c>
      <c r="D50" s="46">
        <f t="shared" si="1"/>
        <v>3250</v>
      </c>
      <c r="E50" s="31" t="str">
        <f t="shared" si="0"/>
        <v/>
      </c>
      <c r="F50" s="26" t="s">
        <v>332</v>
      </c>
    </row>
    <row r="51" spans="1:6" x14ac:dyDescent="0.25">
      <c r="A51" t="s">
        <v>333</v>
      </c>
      <c r="B51" s="31"/>
      <c r="C51" s="31">
        <f>B7*Assumptions!$B$14</f>
        <v>3900</v>
      </c>
      <c r="D51" s="46">
        <f t="shared" si="1"/>
        <v>3900</v>
      </c>
      <c r="E51" s="31" t="str">
        <f t="shared" si="0"/>
        <v/>
      </c>
      <c r="F51" s="26" t="s">
        <v>330</v>
      </c>
    </row>
    <row r="52" spans="1:6" x14ac:dyDescent="0.25">
      <c r="A52" s="42" t="s">
        <v>334</v>
      </c>
      <c r="B52" s="44">
        <f>B40-B22*B25</f>
        <v>135230.31712756463</v>
      </c>
      <c r="C52" s="44">
        <f>SUM(C44:C51)</f>
        <v>139198.45600000001</v>
      </c>
      <c r="D52" s="44">
        <f>SUM(D44:D51)</f>
        <v>139198.45600000001</v>
      </c>
      <c r="E52" s="44">
        <f t="shared" si="0"/>
        <v>3968.1388724353747</v>
      </c>
      <c r="F52" s="26" t="s">
        <v>335</v>
      </c>
    </row>
    <row r="53" spans="1:6" x14ac:dyDescent="0.25">
      <c r="A53" t="s">
        <v>336</v>
      </c>
      <c r="B53" s="31">
        <f>IFERROR(B52/B7,"")</f>
        <v>10402.332086735742</v>
      </c>
      <c r="C53" s="31">
        <f>IFERROR(C52/B7,"")</f>
        <v>10707.573538461538</v>
      </c>
      <c r="D53" s="31">
        <f>IFERROR(D52/B7,"")</f>
        <v>10707.573538461538</v>
      </c>
    </row>
    <row r="54" spans="1:6" x14ac:dyDescent="0.25">
      <c r="A54" t="s">
        <v>337</v>
      </c>
      <c r="B54" s="39">
        <f>IFERROR(B52/B40,"")</f>
        <v>0.34011237113402054</v>
      </c>
      <c r="C54" s="39">
        <f>IFERROR(C52/C40,"")</f>
        <v>0.35009749518560307</v>
      </c>
      <c r="D54" s="39">
        <f>IF(C36&gt;0,IFERROR(D52/C40,""),"")</f>
        <v>0.35009749518560307</v>
      </c>
    </row>
    <row r="55" spans="1:6" x14ac:dyDescent="0.25">
      <c r="A55" s="42" t="s">
        <v>18</v>
      </c>
      <c r="B55" s="47" t="str">
        <f>IF(ISNUMBER(B52),IF(D52&gt;B52*(1+Assumptions!$B$24),"OM EXPENSES LIGHT","OM expenses reasonable"),"OM expenses not published")</f>
        <v>OM expenses reasonable</v>
      </c>
    </row>
    <row r="57" spans="1:6" x14ac:dyDescent="0.25">
      <c r="A57" s="34" t="s">
        <v>338</v>
      </c>
      <c r="B57" s="35"/>
      <c r="C57" s="35"/>
      <c r="D57" s="35"/>
      <c r="E57" s="35"/>
      <c r="F57" s="35"/>
    </row>
    <row r="58" spans="1:6" x14ac:dyDescent="0.25">
      <c r="A58" s="45"/>
      <c r="B58" s="45" t="s">
        <v>305</v>
      </c>
      <c r="C58" s="45" t="s">
        <v>306</v>
      </c>
      <c r="D58" s="45"/>
      <c r="E58" s="45"/>
      <c r="F58" s="45" t="s">
        <v>307</v>
      </c>
    </row>
    <row r="59" spans="1:6" x14ac:dyDescent="0.25">
      <c r="A59" s="42" t="s">
        <v>339</v>
      </c>
      <c r="B59" s="44">
        <f>B40-B52</f>
        <v>262374.5</v>
      </c>
      <c r="C59" s="44">
        <f>IF(C36&gt;0,C40-D52,"")</f>
        <v>258400.66399999999</v>
      </c>
    </row>
    <row r="60" spans="1:6" x14ac:dyDescent="0.25">
      <c r="A60" s="42" t="s">
        <v>340</v>
      </c>
      <c r="B60" s="39">
        <f>IFERROR(B59/B22,"")</f>
        <v>5.7099999999999998E-2</v>
      </c>
      <c r="C60" s="39">
        <f>IF(C59="","",IFERROR(C59/B22,""))</f>
        <v>5.623518258977149E-2</v>
      </c>
      <c r="F60" s="26" t="s">
        <v>341</v>
      </c>
    </row>
    <row r="61" spans="1:6" x14ac:dyDescent="0.25">
      <c r="A61" t="s">
        <v>342</v>
      </c>
      <c r="B61" s="40">
        <f>IFERROR(B22/B36,"")</f>
        <v>11.21</v>
      </c>
      <c r="C61" s="40">
        <f>IF(C36&gt;0,IFERROR(B22/C36,""),"")</f>
        <v>11.210160626110037</v>
      </c>
    </row>
    <row r="62" spans="1:6" x14ac:dyDescent="0.25">
      <c r="A62" t="s">
        <v>343</v>
      </c>
      <c r="B62" s="31">
        <f>IFERROR(B59/B7,"")</f>
        <v>20182.653846153848</v>
      </c>
      <c r="C62" s="31">
        <f>IF(C59="","",IFERROR(C59/B7,""))</f>
        <v>19876.974153846153</v>
      </c>
    </row>
    <row r="64" spans="1:6" x14ac:dyDescent="0.25">
      <c r="A64" s="34" t="s">
        <v>344</v>
      </c>
      <c r="B64" s="35"/>
      <c r="C64" s="35"/>
      <c r="D64" s="35"/>
      <c r="E64" s="35"/>
      <c r="F64" s="35"/>
    </row>
    <row r="65" spans="1:2" x14ac:dyDescent="0.25">
      <c r="A65" t="s">
        <v>345</v>
      </c>
      <c r="B65" s="31">
        <f>IFERROR(B22*Assumptions!$B$20,"")</f>
        <v>2757000</v>
      </c>
    </row>
    <row r="66" spans="1:2" x14ac:dyDescent="0.25">
      <c r="A66" t="s">
        <v>346</v>
      </c>
      <c r="B66" s="31">
        <f>IF(C59="","",IFERROR(PV(Assumptions!$B$22/12,Assumptions!$B$23*12,-C59/Assumptions!$B$21/12),""))</f>
        <v>2797828.438348575</v>
      </c>
    </row>
    <row r="67" spans="1:2" x14ac:dyDescent="0.25">
      <c r="A67" s="42" t="s">
        <v>347</v>
      </c>
      <c r="B67" s="31">
        <f>IFERROR(MIN(B65,B66),"")</f>
        <v>2757000</v>
      </c>
    </row>
    <row r="68" spans="1:2" x14ac:dyDescent="0.25">
      <c r="A68" t="s">
        <v>348</v>
      </c>
      <c r="B68" s="31">
        <f>IFERROR(B22-B67,"")</f>
        <v>1838000</v>
      </c>
    </row>
    <row r="69" spans="1:2" x14ac:dyDescent="0.25">
      <c r="A69" t="s">
        <v>349</v>
      </c>
      <c r="B69" s="31">
        <f>IFERROR(-PMT(Assumptions!$B$22/12,Assumptions!$B$23*12,B67)*12,"")</f>
        <v>203703.87858906738</v>
      </c>
    </row>
    <row r="70" spans="1:2" x14ac:dyDescent="0.25">
      <c r="A70" t="s">
        <v>350</v>
      </c>
      <c r="B70" s="40">
        <f>IFERROR(C59/B69,"")</f>
        <v>1.2685112614928293</v>
      </c>
    </row>
    <row r="71" spans="1:2" x14ac:dyDescent="0.25">
      <c r="A71" t="s">
        <v>351</v>
      </c>
      <c r="B71" s="31">
        <f>IFERROR(C59-B69,"")</f>
        <v>54696.785410932614</v>
      </c>
    </row>
    <row r="72" spans="1:2" x14ac:dyDescent="0.25">
      <c r="A72" t="s">
        <v>352</v>
      </c>
      <c r="B72" s="39">
        <f>IFERROR(B71/B68,"")</f>
        <v>2.9758860397678246E-2</v>
      </c>
    </row>
    <row r="74" spans="1:2" x14ac:dyDescent="0.25">
      <c r="A74" s="26" t="s">
        <v>353</v>
      </c>
    </row>
  </sheetData>
  <hyperlinks>
    <hyperlink ref="A3" r:id="rId1" xr:uid="{00000000-0004-0000-0800-000000000000}"/>
  </hyperlinks>
  <pageMargins left="0.75" right="0.75" top="1" bottom="1" header="0.5" footer="0.5"/>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F76"/>
  <sheetViews>
    <sheetView showGridLines="0" workbookViewId="0">
      <pane ySplit="5" topLeftCell="A6" activePane="bottomLeft" state="frozen"/>
      <selection pane="bottomLeft"/>
    </sheetView>
  </sheetViews>
  <sheetFormatPr defaultRowHeight="15" x14ac:dyDescent="0.25"/>
  <cols>
    <col min="1" max="1" width="38" customWidth="1"/>
    <col min="2" max="5" width="16" customWidth="1"/>
    <col min="6" max="6" width="48" customWidth="1"/>
    <col min="7" max="7" width="12" customWidth="1"/>
  </cols>
  <sheetData>
    <row r="1" spans="1:3" ht="19.5" x14ac:dyDescent="0.3">
      <c r="A1" s="1" t="s">
        <v>76</v>
      </c>
    </row>
    <row r="2" spans="1:3" x14ac:dyDescent="0.25">
      <c r="A2" s="32" t="s">
        <v>362</v>
      </c>
    </row>
    <row r="3" spans="1:3" x14ac:dyDescent="0.25">
      <c r="A3" s="33" t="s">
        <v>271</v>
      </c>
      <c r="B3" s="26" t="s">
        <v>548</v>
      </c>
    </row>
    <row r="4" spans="1:3" x14ac:dyDescent="0.25">
      <c r="A4" s="54" t="s">
        <v>563</v>
      </c>
    </row>
    <row r="6" spans="1:3" x14ac:dyDescent="0.25">
      <c r="A6" s="34" t="s">
        <v>273</v>
      </c>
      <c r="B6" s="35"/>
      <c r="C6" s="35"/>
    </row>
    <row r="7" spans="1:3" x14ac:dyDescent="0.25">
      <c r="A7" t="s">
        <v>7</v>
      </c>
      <c r="B7" s="36">
        <v>15</v>
      </c>
    </row>
    <row r="8" spans="1:3" x14ac:dyDescent="0.25">
      <c r="A8" t="s">
        <v>274</v>
      </c>
      <c r="B8" s="36">
        <v>16568</v>
      </c>
    </row>
    <row r="9" spans="1:3" x14ac:dyDescent="0.25">
      <c r="A9" t="s">
        <v>10</v>
      </c>
      <c r="B9" s="36">
        <v>11761</v>
      </c>
    </row>
    <row r="10" spans="1:3" x14ac:dyDescent="0.25">
      <c r="A10" t="s">
        <v>275</v>
      </c>
      <c r="B10" s="37">
        <v>0.27</v>
      </c>
    </row>
    <row r="11" spans="1:3" x14ac:dyDescent="0.25">
      <c r="A11" t="s">
        <v>8</v>
      </c>
      <c r="B11">
        <v>1964</v>
      </c>
      <c r="C11" s="60" t="s">
        <v>581</v>
      </c>
    </row>
    <row r="12" spans="1:3" x14ac:dyDescent="0.25">
      <c r="A12" t="s">
        <v>276</v>
      </c>
      <c r="B12" t="s">
        <v>367</v>
      </c>
    </row>
    <row r="13" spans="1:3" x14ac:dyDescent="0.25">
      <c r="A13" t="s">
        <v>278</v>
      </c>
      <c r="B13" t="s">
        <v>368</v>
      </c>
    </row>
    <row r="14" spans="1:3" x14ac:dyDescent="0.25">
      <c r="A14" t="s">
        <v>280</v>
      </c>
      <c r="B14" t="s">
        <v>34</v>
      </c>
    </row>
    <row r="15" spans="1:3" x14ac:dyDescent="0.25">
      <c r="A15" t="s">
        <v>281</v>
      </c>
      <c r="B15" t="s">
        <v>377</v>
      </c>
    </row>
    <row r="16" spans="1:3" x14ac:dyDescent="0.25">
      <c r="A16" t="s">
        <v>283</v>
      </c>
      <c r="B16" s="31">
        <v>5866611</v>
      </c>
    </row>
    <row r="17" spans="1:6" x14ac:dyDescent="0.25">
      <c r="A17" t="s">
        <v>284</v>
      </c>
      <c r="B17" t="s">
        <v>77</v>
      </c>
    </row>
    <row r="18" spans="1:6" x14ac:dyDescent="0.25">
      <c r="A18" t="s">
        <v>285</v>
      </c>
      <c r="B18" t="s">
        <v>78</v>
      </c>
    </row>
    <row r="19" spans="1:6" x14ac:dyDescent="0.25">
      <c r="A19" t="s">
        <v>286</v>
      </c>
      <c r="B19" t="s">
        <v>79</v>
      </c>
    </row>
    <row r="21" spans="1:6" x14ac:dyDescent="0.25">
      <c r="A21" s="34" t="s">
        <v>287</v>
      </c>
      <c r="B21" s="35"/>
      <c r="C21" s="35"/>
    </row>
    <row r="22" spans="1:6" x14ac:dyDescent="0.25">
      <c r="A22" t="s">
        <v>11</v>
      </c>
      <c r="B22" s="28">
        <v>6350000</v>
      </c>
    </row>
    <row r="23" spans="1:6" x14ac:dyDescent="0.25">
      <c r="A23" t="s">
        <v>288</v>
      </c>
      <c r="B23" s="31">
        <f>IFERROR(B22/B7,"")</f>
        <v>423333.33333333331</v>
      </c>
    </row>
    <row r="24" spans="1:6" x14ac:dyDescent="0.25">
      <c r="A24" t="s">
        <v>289</v>
      </c>
      <c r="B24" s="38">
        <f>IFERROR(B22/B8,"")</f>
        <v>383.26895219700629</v>
      </c>
    </row>
    <row r="25" spans="1:6" x14ac:dyDescent="0.25">
      <c r="A25" t="s">
        <v>290</v>
      </c>
      <c r="B25" s="39">
        <v>5.6599999999999998E-2</v>
      </c>
    </row>
    <row r="26" spans="1:6" x14ac:dyDescent="0.25">
      <c r="A26" t="s">
        <v>291</v>
      </c>
      <c r="B26" s="40">
        <v>11.23</v>
      </c>
    </row>
    <row r="28" spans="1:6" x14ac:dyDescent="0.25">
      <c r="A28" s="34" t="s">
        <v>292</v>
      </c>
      <c r="B28" s="35"/>
      <c r="C28" s="35"/>
      <c r="D28" s="35"/>
      <c r="E28" s="35"/>
      <c r="F28" s="35"/>
    </row>
    <row r="29" spans="1:6" x14ac:dyDescent="0.25">
      <c r="A29" s="41" t="s">
        <v>293</v>
      </c>
      <c r="B29" s="41" t="s">
        <v>294</v>
      </c>
      <c r="C29" s="41" t="s">
        <v>295</v>
      </c>
      <c r="D29" s="41" t="s">
        <v>296</v>
      </c>
      <c r="E29" s="41" t="s">
        <v>297</v>
      </c>
      <c r="F29" s="41" t="s">
        <v>298</v>
      </c>
    </row>
    <row r="30" spans="1:6" x14ac:dyDescent="0.25">
      <c r="A30" t="s">
        <v>503</v>
      </c>
      <c r="B30" s="36">
        <v>1</v>
      </c>
      <c r="C30" s="56">
        <v>2900</v>
      </c>
      <c r="D30" s="51">
        <f>B30*C30</f>
        <v>2900</v>
      </c>
      <c r="E30" s="51">
        <f>D30*12</f>
        <v>34800</v>
      </c>
      <c r="F30" s="52" t="s">
        <v>545</v>
      </c>
    </row>
    <row r="31" spans="1:6" x14ac:dyDescent="0.25">
      <c r="A31" t="s">
        <v>504</v>
      </c>
      <c r="B31" s="36">
        <v>1</v>
      </c>
      <c r="C31" s="56">
        <v>2648</v>
      </c>
      <c r="D31" s="51">
        <f>B31*C31</f>
        <v>2648</v>
      </c>
      <c r="E31" s="51">
        <f>D31*12</f>
        <v>31776</v>
      </c>
      <c r="F31" s="52" t="s">
        <v>545</v>
      </c>
    </row>
    <row r="32" spans="1:6" x14ac:dyDescent="0.25">
      <c r="A32" t="s">
        <v>505</v>
      </c>
      <c r="B32" s="36">
        <v>7</v>
      </c>
      <c r="C32" s="56">
        <v>2699</v>
      </c>
      <c r="D32" s="51">
        <f>B32*C32</f>
        <v>18893</v>
      </c>
      <c r="E32" s="51">
        <f>D32*12</f>
        <v>226716</v>
      </c>
      <c r="F32" s="52" t="s">
        <v>545</v>
      </c>
    </row>
    <row r="33" spans="1:6" x14ac:dyDescent="0.25">
      <c r="A33" t="s">
        <v>506</v>
      </c>
      <c r="B33" s="36">
        <v>6</v>
      </c>
      <c r="C33" s="56">
        <v>3780</v>
      </c>
      <c r="D33" s="51">
        <f>B33*C33</f>
        <v>22680</v>
      </c>
      <c r="E33" s="51">
        <f>D33*12</f>
        <v>272160</v>
      </c>
      <c r="F33" s="52" t="s">
        <v>545</v>
      </c>
    </row>
    <row r="34" spans="1:6" x14ac:dyDescent="0.25">
      <c r="A34" s="42" t="s">
        <v>303</v>
      </c>
      <c r="B34" s="43">
        <f>SUM(B30:B33)</f>
        <v>15</v>
      </c>
      <c r="C34" s="44">
        <f>IFERROR(D34/B34,"")</f>
        <v>3141.4</v>
      </c>
      <c r="D34" s="44">
        <f>SUM(D30:D33)</f>
        <v>47121</v>
      </c>
      <c r="E34" s="44">
        <f>SUM(E30:E33)</f>
        <v>565452</v>
      </c>
    </row>
    <row r="36" spans="1:6" x14ac:dyDescent="0.25">
      <c r="A36" s="34" t="s">
        <v>304</v>
      </c>
      <c r="B36" s="35"/>
      <c r="C36" s="35"/>
      <c r="D36" s="35"/>
      <c r="E36" s="35"/>
      <c r="F36" s="35"/>
    </row>
    <row r="37" spans="1:6" x14ac:dyDescent="0.25">
      <c r="A37" s="45"/>
      <c r="B37" s="45" t="s">
        <v>305</v>
      </c>
      <c r="C37" s="45" t="s">
        <v>306</v>
      </c>
      <c r="D37" s="45"/>
      <c r="E37" s="45"/>
      <c r="F37" s="45" t="s">
        <v>307</v>
      </c>
    </row>
    <row r="38" spans="1:6" x14ac:dyDescent="0.25">
      <c r="A38" t="s">
        <v>308</v>
      </c>
      <c r="B38" s="51">
        <v>565525</v>
      </c>
      <c r="C38" s="31">
        <f>E34</f>
        <v>565452</v>
      </c>
      <c r="F38" s="26" t="s">
        <v>546</v>
      </c>
    </row>
    <row r="39" spans="1:6" x14ac:dyDescent="0.25">
      <c r="A39" t="s">
        <v>310</v>
      </c>
      <c r="B39" s="31">
        <v>2791</v>
      </c>
      <c r="C39" s="28">
        <v>2791</v>
      </c>
    </row>
    <row r="40" spans="1:6" x14ac:dyDescent="0.25">
      <c r="A40" s="42" t="s">
        <v>311</v>
      </c>
      <c r="B40" s="31">
        <f>B38+B39</f>
        <v>568316</v>
      </c>
      <c r="C40" s="31">
        <f>C38+C39</f>
        <v>568243</v>
      </c>
    </row>
    <row r="41" spans="1:6" x14ac:dyDescent="0.25">
      <c r="A41" t="s">
        <v>312</v>
      </c>
      <c r="B41" s="31">
        <f>-B38*0.03</f>
        <v>-16965.75</v>
      </c>
      <c r="C41" s="31">
        <f>-C38*Assumptions!$B$3</f>
        <v>-16963.559999999998</v>
      </c>
      <c r="F41" s="26" t="s">
        <v>499</v>
      </c>
    </row>
    <row r="42" spans="1:6" x14ac:dyDescent="0.25">
      <c r="A42" s="42" t="s">
        <v>314</v>
      </c>
      <c r="B42" s="44">
        <f>B40+B41</f>
        <v>551350.25</v>
      </c>
      <c r="C42" s="44">
        <f>C40+C41</f>
        <v>551279.43999999994</v>
      </c>
    </row>
    <row r="44" spans="1:6" x14ac:dyDescent="0.25">
      <c r="A44" s="34" t="s">
        <v>315</v>
      </c>
      <c r="B44" s="35"/>
      <c r="C44" s="35"/>
      <c r="D44" s="35"/>
      <c r="E44" s="35"/>
      <c r="F44" s="35"/>
    </row>
    <row r="45" spans="1:6" x14ac:dyDescent="0.25">
      <c r="A45" s="45" t="s">
        <v>316</v>
      </c>
      <c r="B45" s="45" t="s">
        <v>305</v>
      </c>
      <c r="C45" s="45" t="s">
        <v>317</v>
      </c>
      <c r="D45" s="45" t="s">
        <v>306</v>
      </c>
      <c r="E45" s="45" t="s">
        <v>318</v>
      </c>
      <c r="F45" s="45" t="s">
        <v>307</v>
      </c>
    </row>
    <row r="46" spans="1:6" x14ac:dyDescent="0.25">
      <c r="A46" t="s">
        <v>319</v>
      </c>
      <c r="B46" s="51">
        <v>75399</v>
      </c>
      <c r="C46" s="31">
        <f>B22*Assumptions!$B$15</f>
        <v>79375</v>
      </c>
      <c r="D46" s="46">
        <f>C46</f>
        <v>79375</v>
      </c>
      <c r="E46" s="31">
        <f t="shared" ref="E46:E54" si="0">IF(ISNUMBER(B46),D46-B46,"")</f>
        <v>3976</v>
      </c>
      <c r="F46" s="26" t="s">
        <v>358</v>
      </c>
    </row>
    <row r="47" spans="1:6" x14ac:dyDescent="0.25">
      <c r="A47" t="s">
        <v>321</v>
      </c>
      <c r="B47" s="51">
        <v>19527</v>
      </c>
      <c r="C47" s="31">
        <f>B7*Assumptions!$B$5+B8*Assumptions!$B$6</f>
        <v>19568</v>
      </c>
      <c r="D47" s="46">
        <f t="shared" ref="D47:D53" si="1">IF(ISNUMBER(B47),MAX(B47,C47),C47)</f>
        <v>19568</v>
      </c>
      <c r="E47" s="31">
        <f t="shared" si="0"/>
        <v>41</v>
      </c>
      <c r="F47" s="26" t="s">
        <v>322</v>
      </c>
    </row>
    <row r="48" spans="1:6" x14ac:dyDescent="0.25">
      <c r="A48" t="s">
        <v>323</v>
      </c>
      <c r="B48" s="51">
        <v>22054</v>
      </c>
      <c r="C48" s="31">
        <f>C42*Assumptions!$B$4</f>
        <v>27563.971999999998</v>
      </c>
      <c r="D48" s="46">
        <f t="shared" si="1"/>
        <v>27563.971999999998</v>
      </c>
      <c r="E48" s="31">
        <f t="shared" si="0"/>
        <v>5509.9719999999979</v>
      </c>
      <c r="F48" s="26" t="s">
        <v>324</v>
      </c>
    </row>
    <row r="49" spans="1:6" x14ac:dyDescent="0.25">
      <c r="A49" t="s">
        <v>325</v>
      </c>
      <c r="B49" s="51">
        <v>22500</v>
      </c>
      <c r="C49" s="31">
        <f>B7*Assumptions!$B$7</f>
        <v>18000</v>
      </c>
      <c r="D49" s="46">
        <f t="shared" si="1"/>
        <v>22500</v>
      </c>
      <c r="E49" s="31">
        <f t="shared" si="0"/>
        <v>0</v>
      </c>
      <c r="F49" s="26" t="s">
        <v>326</v>
      </c>
    </row>
    <row r="50" spans="1:6" x14ac:dyDescent="0.25">
      <c r="A50" t="s">
        <v>327</v>
      </c>
      <c r="B50" s="51">
        <v>28692</v>
      </c>
      <c r="C50" s="31">
        <f>B7*Assumptions!$B$9</f>
        <v>22500</v>
      </c>
      <c r="D50" s="46">
        <f t="shared" si="1"/>
        <v>28692</v>
      </c>
      <c r="E50" s="31">
        <f t="shared" si="0"/>
        <v>0</v>
      </c>
      <c r="F50" s="26" t="s">
        <v>500</v>
      </c>
    </row>
    <row r="51" spans="1:6" x14ac:dyDescent="0.25">
      <c r="A51" t="s">
        <v>329</v>
      </c>
      <c r="B51" s="51">
        <v>5646</v>
      </c>
      <c r="C51" s="31">
        <f>B7*Assumptions!$B$12</f>
        <v>6000</v>
      </c>
      <c r="D51" s="46">
        <f t="shared" si="1"/>
        <v>6000</v>
      </c>
      <c r="E51" s="31">
        <f t="shared" si="0"/>
        <v>354</v>
      </c>
      <c r="F51" s="26" t="s">
        <v>330</v>
      </c>
    </row>
    <row r="52" spans="1:6" x14ac:dyDescent="0.25">
      <c r="A52" t="s">
        <v>388</v>
      </c>
      <c r="B52" s="51">
        <v>12848</v>
      </c>
      <c r="C52" s="31">
        <f>B7*Assumptions!$B$13</f>
        <v>3750</v>
      </c>
      <c r="D52" s="46">
        <f t="shared" si="1"/>
        <v>12848</v>
      </c>
      <c r="E52" s="31">
        <f t="shared" si="0"/>
        <v>0</v>
      </c>
      <c r="F52" s="26" t="s">
        <v>507</v>
      </c>
    </row>
    <row r="53" spans="1:6" x14ac:dyDescent="0.25">
      <c r="A53" t="s">
        <v>333</v>
      </c>
      <c r="B53" s="51">
        <v>5250</v>
      </c>
      <c r="C53" s="31">
        <f>B7*Assumptions!$B$14</f>
        <v>4500</v>
      </c>
      <c r="D53" s="46">
        <f t="shared" si="1"/>
        <v>5250</v>
      </c>
      <c r="E53" s="31">
        <f t="shared" si="0"/>
        <v>0</v>
      </c>
      <c r="F53" s="26" t="s">
        <v>330</v>
      </c>
    </row>
    <row r="54" spans="1:6" x14ac:dyDescent="0.25">
      <c r="A54" s="42" t="s">
        <v>334</v>
      </c>
      <c r="B54" s="44">
        <f>SUM(B46:B53)</f>
        <v>191916</v>
      </c>
      <c r="C54" s="44">
        <f>SUM(C46:C53)</f>
        <v>181256.97200000001</v>
      </c>
      <c r="D54" s="44">
        <f>SUM(D46:D53)</f>
        <v>201796.97200000001</v>
      </c>
      <c r="E54" s="44">
        <f t="shared" si="0"/>
        <v>9880.9720000000088</v>
      </c>
      <c r="F54" s="26" t="s">
        <v>547</v>
      </c>
    </row>
    <row r="55" spans="1:6" x14ac:dyDescent="0.25">
      <c r="A55" t="s">
        <v>336</v>
      </c>
      <c r="B55" s="31">
        <f>IFERROR(B54/B7,"")</f>
        <v>12794.4</v>
      </c>
      <c r="C55" s="31">
        <f>IFERROR(C54/B7,"")</f>
        <v>12083.798133333334</v>
      </c>
      <c r="D55" s="31">
        <f>IFERROR(D54/B7,"")</f>
        <v>13453.131466666668</v>
      </c>
    </row>
    <row r="56" spans="1:6" x14ac:dyDescent="0.25">
      <c r="A56" t="s">
        <v>337</v>
      </c>
      <c r="B56" s="39">
        <f>IFERROR(B54/B42,"")</f>
        <v>0.34808363649059743</v>
      </c>
      <c r="C56" s="39">
        <f>IFERROR(C54/C42,"")</f>
        <v>0.32879327406079217</v>
      </c>
      <c r="D56" s="39">
        <f>IF(C38&gt;0,IFERROR(D54/C42,""),"")</f>
        <v>0.36605205519726985</v>
      </c>
    </row>
    <row r="57" spans="1:6" x14ac:dyDescent="0.25">
      <c r="A57" s="42" t="s">
        <v>18</v>
      </c>
      <c r="B57" s="47" t="str">
        <f>IF(ISNUMBER(B54),IF(D54&gt;B54*(1+Assumptions!$B$24),"OM EXPENSES LIGHT","OM expenses reasonable"),"OM expenses not published")</f>
        <v>OM EXPENSES LIGHT</v>
      </c>
    </row>
    <row r="59" spans="1:6" x14ac:dyDescent="0.25">
      <c r="A59" s="34" t="s">
        <v>338</v>
      </c>
      <c r="B59" s="35"/>
      <c r="C59" s="35"/>
      <c r="D59" s="35"/>
      <c r="E59" s="35"/>
      <c r="F59" s="35"/>
    </row>
    <row r="60" spans="1:6" x14ac:dyDescent="0.25">
      <c r="A60" s="45"/>
      <c r="B60" s="45" t="s">
        <v>305</v>
      </c>
      <c r="C60" s="45" t="s">
        <v>306</v>
      </c>
      <c r="D60" s="45"/>
      <c r="E60" s="45"/>
      <c r="F60" s="45" t="s">
        <v>307</v>
      </c>
    </row>
    <row r="61" spans="1:6" x14ac:dyDescent="0.25">
      <c r="A61" s="42" t="s">
        <v>339</v>
      </c>
      <c r="B61" s="44">
        <f>B42-B54</f>
        <v>359434.25</v>
      </c>
      <c r="C61" s="44">
        <f>IF(C38&gt;0,C42-D54,"")</f>
        <v>349482.46799999994</v>
      </c>
      <c r="F61" t="s">
        <v>508</v>
      </c>
    </row>
    <row r="62" spans="1:6" x14ac:dyDescent="0.25">
      <c r="A62" s="42" t="s">
        <v>340</v>
      </c>
      <c r="B62" s="39">
        <f>IFERROR(B61/B22,"")</f>
        <v>5.6603818897637798E-2</v>
      </c>
      <c r="C62" s="39">
        <f>IF(C61="","",IFERROR(C61/B22,""))</f>
        <v>5.5036609133858258E-2</v>
      </c>
      <c r="F62" s="26" t="s">
        <v>341</v>
      </c>
    </row>
    <row r="63" spans="1:6" x14ac:dyDescent="0.25">
      <c r="A63" t="s">
        <v>342</v>
      </c>
      <c r="B63" s="40">
        <f>IFERROR(B22/B38,"")</f>
        <v>11.228504486981123</v>
      </c>
      <c r="C63" s="40">
        <f>IF(C38&gt;0,IFERROR(B22/C38,""),"")</f>
        <v>11.229954089825485</v>
      </c>
    </row>
    <row r="64" spans="1:6" x14ac:dyDescent="0.25">
      <c r="A64" t="s">
        <v>343</v>
      </c>
      <c r="B64" s="31">
        <f>IFERROR(B61/B7,"")</f>
        <v>23962.283333333333</v>
      </c>
      <c r="C64" s="31">
        <f>IF(C61="","",IFERROR(C61/B7,""))</f>
        <v>23298.831199999997</v>
      </c>
    </row>
    <row r="66" spans="1:6" x14ac:dyDescent="0.25">
      <c r="A66" s="34" t="s">
        <v>344</v>
      </c>
      <c r="B66" s="35"/>
      <c r="C66" s="35"/>
      <c r="D66" s="35"/>
      <c r="E66" s="35"/>
      <c r="F66" s="35"/>
    </row>
    <row r="67" spans="1:6" x14ac:dyDescent="0.25">
      <c r="A67" t="s">
        <v>345</v>
      </c>
      <c r="B67" s="31">
        <f>IFERROR(B22*Assumptions!$B$20,"")</f>
        <v>3810000</v>
      </c>
    </row>
    <row r="68" spans="1:6" x14ac:dyDescent="0.25">
      <c r="A68" t="s">
        <v>346</v>
      </c>
      <c r="B68" s="31">
        <f>IF(C61="","",IFERROR(PV(Assumptions!$B$22/12,Assumptions!$B$23*12,-C61/Assumptions!$B$21/12),""))</f>
        <v>3784014.9964732514</v>
      </c>
    </row>
    <row r="69" spans="1:6" x14ac:dyDescent="0.25">
      <c r="A69" s="42" t="s">
        <v>347</v>
      </c>
      <c r="B69" s="31">
        <f>IFERROR(MIN(B67,B68),"")</f>
        <v>3784014.9964732514</v>
      </c>
    </row>
    <row r="70" spans="1:6" x14ac:dyDescent="0.25">
      <c r="A70" t="s">
        <v>348</v>
      </c>
      <c r="B70" s="31">
        <f>IFERROR(B22-B69,"")</f>
        <v>2565985.0035267486</v>
      </c>
    </row>
    <row r="71" spans="1:6" x14ac:dyDescent="0.25">
      <c r="A71" t="s">
        <v>349</v>
      </c>
      <c r="B71" s="31">
        <f>IFERROR(-PMT(Assumptions!$B$22/12,Assumptions!$B$23*12,B69)*12,"")</f>
        <v>279585.97439999902</v>
      </c>
    </row>
    <row r="72" spans="1:6" x14ac:dyDescent="0.25">
      <c r="A72" t="s">
        <v>350</v>
      </c>
      <c r="B72" s="40">
        <f>IFERROR(C61/B71,"")</f>
        <v>1.2500000000000042</v>
      </c>
    </row>
    <row r="73" spans="1:6" x14ac:dyDescent="0.25">
      <c r="A73" t="s">
        <v>351</v>
      </c>
      <c r="B73" s="31">
        <f>IFERROR(C61-B71,"")</f>
        <v>69896.493600000918</v>
      </c>
    </row>
    <row r="74" spans="1:6" x14ac:dyDescent="0.25">
      <c r="A74" t="s">
        <v>352</v>
      </c>
      <c r="B74" s="39">
        <f>IFERROR(B73/B70,"")</f>
        <v>2.7239634488874086E-2</v>
      </c>
    </row>
    <row r="76" spans="1:6" x14ac:dyDescent="0.25">
      <c r="A76" s="26" t="s">
        <v>353</v>
      </c>
    </row>
  </sheetData>
  <hyperlinks>
    <hyperlink ref="A3" r:id="rId1" xr:uid="{00000000-0004-0000-0900-000000000000}"/>
  </hyperlinks>
  <pageMargins left="0.75" right="0.75" top="1" bottom="1" header="0.5" footer="0.5"/>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F75"/>
  <sheetViews>
    <sheetView showGridLines="0" workbookViewId="0">
      <pane ySplit="5" topLeftCell="A6" activePane="bottomLeft" state="frozen"/>
      <selection pane="bottomLeft"/>
    </sheetView>
  </sheetViews>
  <sheetFormatPr defaultRowHeight="15" x14ac:dyDescent="0.25"/>
  <cols>
    <col min="1" max="1" width="38" customWidth="1"/>
    <col min="2" max="5" width="16" customWidth="1"/>
    <col min="6" max="6" width="48" customWidth="1"/>
    <col min="7" max="7" width="12" customWidth="1"/>
  </cols>
  <sheetData>
    <row r="1" spans="1:3" ht="19.5" x14ac:dyDescent="0.3">
      <c r="A1" s="1" t="s">
        <v>80</v>
      </c>
    </row>
    <row r="2" spans="1:3" x14ac:dyDescent="0.25">
      <c r="A2" s="32" t="s">
        <v>370</v>
      </c>
    </row>
    <row r="3" spans="1:3" x14ac:dyDescent="0.25">
      <c r="A3" s="33" t="s">
        <v>271</v>
      </c>
      <c r="B3" s="26" t="s">
        <v>272</v>
      </c>
    </row>
    <row r="4" spans="1:3" x14ac:dyDescent="0.25">
      <c r="A4" s="47" t="s">
        <v>378</v>
      </c>
    </row>
    <row r="6" spans="1:3" x14ac:dyDescent="0.25">
      <c r="A6" s="34" t="s">
        <v>273</v>
      </c>
      <c r="B6" s="35"/>
      <c r="C6" s="35"/>
    </row>
    <row r="7" spans="1:3" x14ac:dyDescent="0.25">
      <c r="A7" t="s">
        <v>7</v>
      </c>
      <c r="B7" s="36">
        <v>10</v>
      </c>
    </row>
    <row r="8" spans="1:3" x14ac:dyDescent="0.25">
      <c r="A8" t="s">
        <v>274</v>
      </c>
      <c r="B8" s="36">
        <v>7032</v>
      </c>
    </row>
    <row r="9" spans="1:3" x14ac:dyDescent="0.25">
      <c r="A9" t="s">
        <v>10</v>
      </c>
      <c r="B9" s="36">
        <v>7405</v>
      </c>
    </row>
    <row r="10" spans="1:3" x14ac:dyDescent="0.25">
      <c r="A10" t="s">
        <v>275</v>
      </c>
      <c r="B10" s="37">
        <v>0.17</v>
      </c>
    </row>
    <row r="11" spans="1:3" x14ac:dyDescent="0.25">
      <c r="A11" t="s">
        <v>8</v>
      </c>
      <c r="B11">
        <v>1967</v>
      </c>
    </row>
    <row r="12" spans="1:3" x14ac:dyDescent="0.25">
      <c r="A12" t="s">
        <v>276</v>
      </c>
      <c r="B12" t="s">
        <v>355</v>
      </c>
    </row>
    <row r="13" spans="1:3" x14ac:dyDescent="0.25">
      <c r="A13" t="s">
        <v>278</v>
      </c>
      <c r="B13" t="s">
        <v>379</v>
      </c>
    </row>
    <row r="14" spans="1:3" x14ac:dyDescent="0.25">
      <c r="A14" t="s">
        <v>280</v>
      </c>
      <c r="B14" t="s">
        <v>48</v>
      </c>
    </row>
    <row r="15" spans="1:3" x14ac:dyDescent="0.25">
      <c r="A15" t="s">
        <v>281</v>
      </c>
      <c r="B15" t="s">
        <v>380</v>
      </c>
    </row>
    <row r="16" spans="1:3" x14ac:dyDescent="0.25">
      <c r="A16" t="s">
        <v>283</v>
      </c>
      <c r="B16" s="31">
        <v>2610677</v>
      </c>
    </row>
    <row r="17" spans="1:6" x14ac:dyDescent="0.25">
      <c r="A17" t="s">
        <v>284</v>
      </c>
      <c r="B17" t="s">
        <v>81</v>
      </c>
    </row>
    <row r="18" spans="1:6" x14ac:dyDescent="0.25">
      <c r="A18" t="s">
        <v>285</v>
      </c>
      <c r="B18" t="s">
        <v>82</v>
      </c>
    </row>
    <row r="19" spans="1:6" x14ac:dyDescent="0.25">
      <c r="A19" t="s">
        <v>286</v>
      </c>
      <c r="B19" t="s">
        <v>83</v>
      </c>
    </row>
    <row r="21" spans="1:6" x14ac:dyDescent="0.25">
      <c r="A21" s="34" t="s">
        <v>287</v>
      </c>
      <c r="B21" s="35"/>
      <c r="C21" s="35"/>
    </row>
    <row r="22" spans="1:6" x14ac:dyDescent="0.25">
      <c r="A22" t="s">
        <v>11</v>
      </c>
      <c r="B22" s="28">
        <v>2675000</v>
      </c>
    </row>
    <row r="23" spans="1:6" x14ac:dyDescent="0.25">
      <c r="A23" t="s">
        <v>288</v>
      </c>
      <c r="B23" s="31">
        <f>IFERROR(B22/B7,"")</f>
        <v>267500</v>
      </c>
    </row>
    <row r="24" spans="1:6" x14ac:dyDescent="0.25">
      <c r="A24" t="s">
        <v>289</v>
      </c>
      <c r="B24" s="38">
        <f>IFERROR(B22/B8,"")</f>
        <v>380.40386803185436</v>
      </c>
    </row>
    <row r="25" spans="1:6" x14ac:dyDescent="0.25">
      <c r="A25" t="s">
        <v>290</v>
      </c>
      <c r="B25" s="39">
        <v>5.6099999999999997E-2</v>
      </c>
    </row>
    <row r="26" spans="1:6" x14ac:dyDescent="0.25">
      <c r="A26" t="s">
        <v>291</v>
      </c>
      <c r="B26" s="40">
        <v>11.19</v>
      </c>
    </row>
    <row r="28" spans="1:6" x14ac:dyDescent="0.25">
      <c r="A28" s="34" t="s">
        <v>292</v>
      </c>
      <c r="B28" s="35"/>
      <c r="C28" s="35"/>
      <c r="D28" s="35"/>
      <c r="E28" s="35"/>
      <c r="F28" s="35"/>
    </row>
    <row r="29" spans="1:6" x14ac:dyDescent="0.25">
      <c r="A29" s="41" t="s">
        <v>293</v>
      </c>
      <c r="B29" s="41" t="s">
        <v>294</v>
      </c>
      <c r="C29" s="41" t="s">
        <v>295</v>
      </c>
      <c r="D29" s="41" t="s">
        <v>296</v>
      </c>
      <c r="E29" s="41" t="s">
        <v>297</v>
      </c>
      <c r="F29" s="41" t="s">
        <v>298</v>
      </c>
    </row>
    <row r="30" spans="1:6" x14ac:dyDescent="0.25">
      <c r="A30" t="s">
        <v>302</v>
      </c>
      <c r="B30" s="36">
        <v>7</v>
      </c>
      <c r="C30" s="28">
        <v>2250</v>
      </c>
      <c r="D30" s="31">
        <f>B30*C30</f>
        <v>15750</v>
      </c>
      <c r="E30" s="31">
        <f>D30*12</f>
        <v>189000</v>
      </c>
      <c r="F30" s="26" t="s">
        <v>38</v>
      </c>
    </row>
    <row r="31" spans="1:6" x14ac:dyDescent="0.25">
      <c r="A31" t="s">
        <v>300</v>
      </c>
      <c r="B31" s="36">
        <v>2</v>
      </c>
      <c r="C31" s="28">
        <v>2750</v>
      </c>
      <c r="D31" s="31">
        <f>B31*C31</f>
        <v>5500</v>
      </c>
      <c r="E31" s="31">
        <f>D31*12</f>
        <v>66000</v>
      </c>
      <c r="F31" s="26" t="s">
        <v>38</v>
      </c>
    </row>
    <row r="32" spans="1:6" x14ac:dyDescent="0.25">
      <c r="A32" t="s">
        <v>257</v>
      </c>
      <c r="B32" s="36">
        <v>1</v>
      </c>
      <c r="C32" s="28">
        <v>1650</v>
      </c>
      <c r="D32" s="31">
        <f>B32*C32</f>
        <v>1650</v>
      </c>
      <c r="E32" s="31">
        <f>D32*12</f>
        <v>19800</v>
      </c>
      <c r="F32" s="26" t="s">
        <v>38</v>
      </c>
    </row>
    <row r="33" spans="1:6" x14ac:dyDescent="0.25">
      <c r="A33" s="42" t="s">
        <v>303</v>
      </c>
      <c r="B33" s="43">
        <f>SUM(B30:B32)</f>
        <v>10</v>
      </c>
      <c r="C33" s="44">
        <f>IFERROR(D33/B33,"")</f>
        <v>2290</v>
      </c>
      <c r="D33" s="44">
        <f>SUM(D30:D32)</f>
        <v>22900</v>
      </c>
      <c r="E33" s="44">
        <f>SUM(E30:E32)</f>
        <v>274800</v>
      </c>
    </row>
    <row r="35" spans="1:6" x14ac:dyDescent="0.25">
      <c r="A35" s="34" t="s">
        <v>304</v>
      </c>
      <c r="B35" s="35"/>
      <c r="C35" s="35"/>
      <c r="D35" s="35"/>
      <c r="E35" s="35"/>
      <c r="F35" s="35"/>
    </row>
    <row r="36" spans="1:6" x14ac:dyDescent="0.25">
      <c r="A36" s="45"/>
      <c r="B36" s="45" t="s">
        <v>305</v>
      </c>
      <c r="C36" s="45" t="s">
        <v>306</v>
      </c>
      <c r="D36" s="45"/>
      <c r="E36" s="45"/>
      <c r="F36" s="45" t="s">
        <v>307</v>
      </c>
    </row>
    <row r="37" spans="1:6" x14ac:dyDescent="0.25">
      <c r="A37" t="s">
        <v>308</v>
      </c>
      <c r="B37" s="31">
        <v>239052.7256478999</v>
      </c>
      <c r="C37" s="31">
        <f>E33</f>
        <v>274800</v>
      </c>
      <c r="F37" s="26" t="s">
        <v>309</v>
      </c>
    </row>
    <row r="38" spans="1:6" x14ac:dyDescent="0.25">
      <c r="A38" t="s">
        <v>310</v>
      </c>
      <c r="B38" s="31">
        <v>0</v>
      </c>
      <c r="C38" s="28">
        <v>0</v>
      </c>
    </row>
    <row r="39" spans="1:6" x14ac:dyDescent="0.25">
      <c r="A39" s="42" t="s">
        <v>311</v>
      </c>
      <c r="B39" s="31">
        <f>B37+B38</f>
        <v>239052.7256478999</v>
      </c>
      <c r="C39" s="31">
        <f>C37+C38</f>
        <v>274800</v>
      </c>
    </row>
    <row r="40" spans="1:6" x14ac:dyDescent="0.25">
      <c r="A40" t="s">
        <v>312</v>
      </c>
      <c r="B40" s="31">
        <f>-B37*0.03</f>
        <v>-7171.5817694369971</v>
      </c>
      <c r="C40" s="31">
        <f>-C37*Assumptions!$B$3</f>
        <v>-8244</v>
      </c>
      <c r="F40" s="26" t="s">
        <v>313</v>
      </c>
    </row>
    <row r="41" spans="1:6" x14ac:dyDescent="0.25">
      <c r="A41" s="42" t="s">
        <v>314</v>
      </c>
      <c r="B41" s="44">
        <f>B39+B40</f>
        <v>231881.1438784629</v>
      </c>
      <c r="C41" s="44">
        <f>C39+C40</f>
        <v>266556</v>
      </c>
    </row>
    <row r="43" spans="1:6" x14ac:dyDescent="0.25">
      <c r="A43" s="34" t="s">
        <v>315</v>
      </c>
      <c r="B43" s="35"/>
      <c r="C43" s="35"/>
      <c r="D43" s="35"/>
      <c r="E43" s="35"/>
      <c r="F43" s="35"/>
    </row>
    <row r="44" spans="1:6" x14ac:dyDescent="0.25">
      <c r="A44" s="45" t="s">
        <v>316</v>
      </c>
      <c r="B44" s="45" t="s">
        <v>305</v>
      </c>
      <c r="C44" s="45" t="s">
        <v>317</v>
      </c>
      <c r="D44" s="45" t="s">
        <v>306</v>
      </c>
      <c r="E44" s="45" t="s">
        <v>318</v>
      </c>
      <c r="F44" s="45" t="s">
        <v>307</v>
      </c>
    </row>
    <row r="45" spans="1:6" x14ac:dyDescent="0.25">
      <c r="A45" t="s">
        <v>319</v>
      </c>
      <c r="B45" s="31"/>
      <c r="C45" s="31">
        <f>B22*Assumptions!$B$15</f>
        <v>33437.5</v>
      </c>
      <c r="D45" s="46">
        <f>C45</f>
        <v>33437.5</v>
      </c>
      <c r="E45" s="31" t="str">
        <f t="shared" ref="E45:E53" si="0">IF(ISNUMBER(B45),D45-B45,"")</f>
        <v/>
      </c>
      <c r="F45" s="26" t="s">
        <v>358</v>
      </c>
    </row>
    <row r="46" spans="1:6" x14ac:dyDescent="0.25">
      <c r="A46" t="s">
        <v>321</v>
      </c>
      <c r="B46" s="31"/>
      <c r="C46" s="31">
        <f>B7*Assumptions!$B$5+B8*Assumptions!$B$6</f>
        <v>9032</v>
      </c>
      <c r="D46" s="46">
        <f t="shared" ref="D46:D52" si="1">IF(ISNUMBER(B46),MAX(B46,C46),C46)</f>
        <v>9032</v>
      </c>
      <c r="E46" s="31" t="str">
        <f t="shared" si="0"/>
        <v/>
      </c>
      <c r="F46" s="26" t="s">
        <v>322</v>
      </c>
    </row>
    <row r="47" spans="1:6" x14ac:dyDescent="0.25">
      <c r="A47" t="s">
        <v>323</v>
      </c>
      <c r="B47" s="31"/>
      <c r="C47" s="31">
        <f>C41*Assumptions!$B$4</f>
        <v>13327.800000000001</v>
      </c>
      <c r="D47" s="46">
        <f t="shared" si="1"/>
        <v>13327.800000000001</v>
      </c>
      <c r="E47" s="31" t="str">
        <f t="shared" si="0"/>
        <v/>
      </c>
      <c r="F47" s="26" t="s">
        <v>324</v>
      </c>
    </row>
    <row r="48" spans="1:6" x14ac:dyDescent="0.25">
      <c r="A48" t="s">
        <v>325</v>
      </c>
      <c r="B48" s="31"/>
      <c r="C48" s="31">
        <f>B7*Assumptions!$B$7</f>
        <v>12000</v>
      </c>
      <c r="D48" s="46">
        <f t="shared" si="1"/>
        <v>12000</v>
      </c>
      <c r="E48" s="31" t="str">
        <f t="shared" si="0"/>
        <v/>
      </c>
      <c r="F48" s="26" t="s">
        <v>326</v>
      </c>
    </row>
    <row r="49" spans="1:6" x14ac:dyDescent="0.25">
      <c r="A49" t="s">
        <v>327</v>
      </c>
      <c r="B49" s="31"/>
      <c r="C49" s="31">
        <f>B7*Assumptions!$B$9</f>
        <v>15000</v>
      </c>
      <c r="D49" s="46">
        <f t="shared" si="1"/>
        <v>15000</v>
      </c>
      <c r="E49" s="31" t="str">
        <f t="shared" si="0"/>
        <v/>
      </c>
      <c r="F49" s="26" t="s">
        <v>328</v>
      </c>
    </row>
    <row r="50" spans="1:6" x14ac:dyDescent="0.25">
      <c r="A50" t="s">
        <v>329</v>
      </c>
      <c r="B50" s="31"/>
      <c r="C50" s="31">
        <f>B7*Assumptions!$B$12</f>
        <v>4000</v>
      </c>
      <c r="D50" s="46">
        <f t="shared" si="1"/>
        <v>4000</v>
      </c>
      <c r="E50" s="31" t="str">
        <f t="shared" si="0"/>
        <v/>
      </c>
      <c r="F50" s="26" t="s">
        <v>330</v>
      </c>
    </row>
    <row r="51" spans="1:6" x14ac:dyDescent="0.25">
      <c r="A51" t="s">
        <v>331</v>
      </c>
      <c r="B51" s="31"/>
      <c r="C51" s="31">
        <f>B7*Assumptions!$B$13</f>
        <v>2500</v>
      </c>
      <c r="D51" s="46">
        <f t="shared" si="1"/>
        <v>2500</v>
      </c>
      <c r="E51" s="31" t="str">
        <f t="shared" si="0"/>
        <v/>
      </c>
      <c r="F51" s="26" t="s">
        <v>332</v>
      </c>
    </row>
    <row r="52" spans="1:6" x14ac:dyDescent="0.25">
      <c r="A52" t="s">
        <v>333</v>
      </c>
      <c r="B52" s="31"/>
      <c r="C52" s="31">
        <f>B7*Assumptions!$B$14</f>
        <v>3000</v>
      </c>
      <c r="D52" s="46">
        <f t="shared" si="1"/>
        <v>3000</v>
      </c>
      <c r="E52" s="31" t="str">
        <f t="shared" si="0"/>
        <v/>
      </c>
      <c r="F52" s="26" t="s">
        <v>330</v>
      </c>
    </row>
    <row r="53" spans="1:6" x14ac:dyDescent="0.25">
      <c r="A53" s="42" t="s">
        <v>334</v>
      </c>
      <c r="B53" s="44">
        <f>B41-B22*B25</f>
        <v>81813.643878462899</v>
      </c>
      <c r="C53" s="44">
        <f>SUM(C45:C52)</f>
        <v>92297.3</v>
      </c>
      <c r="D53" s="44">
        <f>SUM(D45:D52)</f>
        <v>92297.3</v>
      </c>
      <c r="E53" s="44">
        <f t="shared" si="0"/>
        <v>10483.656121537104</v>
      </c>
      <c r="F53" s="26" t="s">
        <v>335</v>
      </c>
    </row>
    <row r="54" spans="1:6" x14ac:dyDescent="0.25">
      <c r="A54" t="s">
        <v>336</v>
      </c>
      <c r="B54" s="31">
        <f>IFERROR(B53/B7,"")</f>
        <v>8181.3643878462899</v>
      </c>
      <c r="C54" s="31">
        <f>IFERROR(C53/B7,"")</f>
        <v>9229.73</v>
      </c>
      <c r="D54" s="31">
        <f>IFERROR(D53/B7,"")</f>
        <v>9229.73</v>
      </c>
    </row>
    <row r="55" spans="1:6" x14ac:dyDescent="0.25">
      <c r="A55" t="s">
        <v>337</v>
      </c>
      <c r="B55" s="39">
        <f>IFERROR(B53/B41,"")</f>
        <v>0.35282577319587627</v>
      </c>
      <c r="C55" s="39">
        <f>IFERROR(C53/C41,"")</f>
        <v>0.34625857230750762</v>
      </c>
      <c r="D55" s="39">
        <f>IF(C37&gt;0,IFERROR(D53/C41,""),"")</f>
        <v>0.34625857230750762</v>
      </c>
    </row>
    <row r="56" spans="1:6" x14ac:dyDescent="0.25">
      <c r="A56" s="42" t="s">
        <v>18</v>
      </c>
      <c r="B56" s="47" t="str">
        <f>IF(ISNUMBER(B53),IF(D53&gt;B53*(1+Assumptions!$B$24),"OM EXPENSES LIGHT","OM expenses reasonable"),"OM expenses not published")</f>
        <v>OM EXPENSES LIGHT</v>
      </c>
    </row>
    <row r="58" spans="1:6" x14ac:dyDescent="0.25">
      <c r="A58" s="34" t="s">
        <v>338</v>
      </c>
      <c r="B58" s="35"/>
      <c r="C58" s="35"/>
      <c r="D58" s="35"/>
      <c r="E58" s="35"/>
      <c r="F58" s="35"/>
    </row>
    <row r="59" spans="1:6" x14ac:dyDescent="0.25">
      <c r="A59" s="45"/>
      <c r="B59" s="45" t="s">
        <v>305</v>
      </c>
      <c r="C59" s="45" t="s">
        <v>306</v>
      </c>
      <c r="D59" s="45"/>
      <c r="E59" s="45"/>
      <c r="F59" s="45" t="s">
        <v>307</v>
      </c>
    </row>
    <row r="60" spans="1:6" x14ac:dyDescent="0.25">
      <c r="A60" s="42" t="s">
        <v>339</v>
      </c>
      <c r="B60" s="44">
        <f>B41-B53</f>
        <v>150067.5</v>
      </c>
      <c r="C60" s="44">
        <f>IF(C37&gt;0,C41-D53,"")</f>
        <v>174258.7</v>
      </c>
    </row>
    <row r="61" spans="1:6" x14ac:dyDescent="0.25">
      <c r="A61" s="42" t="s">
        <v>340</v>
      </c>
      <c r="B61" s="39">
        <f>IFERROR(B60/B22,"")</f>
        <v>5.6099999999999997E-2</v>
      </c>
      <c r="C61" s="39">
        <f>IF(C60="","",IFERROR(C60/B22,""))</f>
        <v>6.5143439252336455E-2</v>
      </c>
      <c r="F61" s="26" t="s">
        <v>341</v>
      </c>
    </row>
    <row r="62" spans="1:6" x14ac:dyDescent="0.25">
      <c r="A62" t="s">
        <v>342</v>
      </c>
      <c r="B62" s="40">
        <f>IFERROR(B22/B37,"")</f>
        <v>11.19</v>
      </c>
      <c r="C62" s="40">
        <f>IF(C37&gt;0,IFERROR(B22/C37,""),"")</f>
        <v>9.7343522561863178</v>
      </c>
    </row>
    <row r="63" spans="1:6" x14ac:dyDescent="0.25">
      <c r="A63" t="s">
        <v>343</v>
      </c>
      <c r="B63" s="31">
        <f>IFERROR(B60/B7,"")</f>
        <v>15006.75</v>
      </c>
      <c r="C63" s="31">
        <f>IF(C60="","",IFERROR(C60/B7,""))</f>
        <v>17425.870000000003</v>
      </c>
    </row>
    <row r="65" spans="1:6" x14ac:dyDescent="0.25">
      <c r="A65" s="34" t="s">
        <v>344</v>
      </c>
      <c r="B65" s="35"/>
      <c r="C65" s="35"/>
      <c r="D65" s="35"/>
      <c r="E65" s="35"/>
      <c r="F65" s="35"/>
    </row>
    <row r="66" spans="1:6" x14ac:dyDescent="0.25">
      <c r="A66" t="s">
        <v>345</v>
      </c>
      <c r="B66" s="31">
        <f>IFERROR(B22*Assumptions!$B$20,"")</f>
        <v>1605000</v>
      </c>
    </row>
    <row r="67" spans="1:6" x14ac:dyDescent="0.25">
      <c r="A67" t="s">
        <v>346</v>
      </c>
      <c r="B67" s="31">
        <f>IF(C60="","",IFERROR(PV(Assumptions!$B$22/12,Assumptions!$B$23*12,-C60/Assumptions!$B$21/12),""))</f>
        <v>1886782.870223789</v>
      </c>
    </row>
    <row r="68" spans="1:6" x14ac:dyDescent="0.25">
      <c r="A68" s="42" t="s">
        <v>347</v>
      </c>
      <c r="B68" s="31">
        <f>IFERROR(MIN(B66,B67),"")</f>
        <v>1605000</v>
      </c>
    </row>
    <row r="69" spans="1:6" x14ac:dyDescent="0.25">
      <c r="A69" t="s">
        <v>348</v>
      </c>
      <c r="B69" s="31">
        <f>IFERROR(B22-B68,"")</f>
        <v>1070000</v>
      </c>
    </row>
    <row r="70" spans="1:6" x14ac:dyDescent="0.25">
      <c r="A70" t="s">
        <v>349</v>
      </c>
      <c r="B70" s="31">
        <f>IFERROR(-PMT(Assumptions!$B$22/12,Assumptions!$B$23*12,B68)*12,"")</f>
        <v>118587.13280212301</v>
      </c>
    </row>
    <row r="71" spans="1:6" x14ac:dyDescent="0.25">
      <c r="A71" t="s">
        <v>350</v>
      </c>
      <c r="B71" s="40">
        <f>IFERROR(C60/B70,"")</f>
        <v>1.4694570640372235</v>
      </c>
    </row>
    <row r="72" spans="1:6" x14ac:dyDescent="0.25">
      <c r="A72" t="s">
        <v>351</v>
      </c>
      <c r="B72" s="31">
        <f>IFERROR(C60-B70,"")</f>
        <v>55671.567197876997</v>
      </c>
    </row>
    <row r="73" spans="1:6" x14ac:dyDescent="0.25">
      <c r="A73" t="s">
        <v>352</v>
      </c>
      <c r="B73" s="39">
        <f>IFERROR(B72/B69,"")</f>
        <v>5.2029502054090654E-2</v>
      </c>
    </row>
    <row r="75" spans="1:6" x14ac:dyDescent="0.25">
      <c r="A75" s="26" t="s">
        <v>353</v>
      </c>
    </row>
  </sheetData>
  <hyperlinks>
    <hyperlink ref="A3" r:id="rId1" xr:uid="{00000000-0004-0000-0A00-000000000000}"/>
  </hyperlinks>
  <pageMargins left="0.75" right="0.75" top="1" bottom="1" header="0.5" footer="0.5"/>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74"/>
  <sheetViews>
    <sheetView showGridLines="0" workbookViewId="0">
      <pane ySplit="5" topLeftCell="A6" activePane="bottomLeft" state="frozen"/>
      <selection pane="bottomLeft"/>
    </sheetView>
  </sheetViews>
  <sheetFormatPr defaultRowHeight="15" x14ac:dyDescent="0.25"/>
  <cols>
    <col min="1" max="1" width="38" customWidth="1"/>
    <col min="2" max="5" width="16" customWidth="1"/>
    <col min="6" max="6" width="48" customWidth="1"/>
    <col min="7" max="7" width="12" customWidth="1"/>
  </cols>
  <sheetData>
    <row r="1" spans="1:3" ht="19.5" x14ac:dyDescent="0.3">
      <c r="A1" s="1" t="s">
        <v>85</v>
      </c>
    </row>
    <row r="2" spans="1:3" x14ac:dyDescent="0.25">
      <c r="A2" s="32" t="s">
        <v>381</v>
      </c>
    </row>
    <row r="3" spans="1:3" x14ac:dyDescent="0.25">
      <c r="A3" s="33" t="s">
        <v>271</v>
      </c>
      <c r="B3" s="26" t="s">
        <v>552</v>
      </c>
    </row>
    <row r="4" spans="1:3" x14ac:dyDescent="0.25">
      <c r="A4" s="54" t="s">
        <v>564</v>
      </c>
    </row>
    <row r="6" spans="1:3" x14ac:dyDescent="0.25">
      <c r="A6" s="34" t="s">
        <v>273</v>
      </c>
      <c r="B6" s="35"/>
      <c r="C6" s="35"/>
    </row>
    <row r="7" spans="1:3" x14ac:dyDescent="0.25">
      <c r="A7" t="s">
        <v>7</v>
      </c>
      <c r="B7" s="36">
        <v>12</v>
      </c>
    </row>
    <row r="8" spans="1:3" x14ac:dyDescent="0.25">
      <c r="A8" t="s">
        <v>274</v>
      </c>
      <c r="B8" s="36">
        <v>7280</v>
      </c>
    </row>
    <row r="9" spans="1:3" x14ac:dyDescent="0.25">
      <c r="A9" t="s">
        <v>10</v>
      </c>
      <c r="B9" s="36">
        <v>6098</v>
      </c>
    </row>
    <row r="10" spans="1:3" x14ac:dyDescent="0.25">
      <c r="A10" t="s">
        <v>275</v>
      </c>
      <c r="B10" s="37">
        <v>0.14000000000000001</v>
      </c>
    </row>
    <row r="11" spans="1:3" x14ac:dyDescent="0.25">
      <c r="A11" t="s">
        <v>8</v>
      </c>
    </row>
    <row r="12" spans="1:3" x14ac:dyDescent="0.25">
      <c r="A12" t="s">
        <v>276</v>
      </c>
      <c r="B12" t="s">
        <v>355</v>
      </c>
    </row>
    <row r="13" spans="1:3" x14ac:dyDescent="0.25">
      <c r="A13" t="s">
        <v>278</v>
      </c>
      <c r="B13" t="s">
        <v>382</v>
      </c>
    </row>
    <row r="14" spans="1:3" x14ac:dyDescent="0.25">
      <c r="A14" t="s">
        <v>280</v>
      </c>
    </row>
    <row r="15" spans="1:3" x14ac:dyDescent="0.25">
      <c r="A15" t="s">
        <v>281</v>
      </c>
      <c r="B15" t="s">
        <v>383</v>
      </c>
    </row>
    <row r="16" spans="1:3" x14ac:dyDescent="0.25">
      <c r="A16" t="s">
        <v>283</v>
      </c>
      <c r="B16" s="31">
        <v>4590000</v>
      </c>
    </row>
    <row r="17" spans="1:6" x14ac:dyDescent="0.25">
      <c r="A17" t="s">
        <v>284</v>
      </c>
      <c r="B17" t="s">
        <v>87</v>
      </c>
    </row>
    <row r="18" spans="1:6" x14ac:dyDescent="0.25">
      <c r="A18" t="s">
        <v>285</v>
      </c>
      <c r="B18" t="s">
        <v>88</v>
      </c>
    </row>
    <row r="19" spans="1:6" x14ac:dyDescent="0.25">
      <c r="A19" t="s">
        <v>286</v>
      </c>
      <c r="B19" t="s">
        <v>83</v>
      </c>
    </row>
    <row r="21" spans="1:6" x14ac:dyDescent="0.25">
      <c r="A21" s="34" t="s">
        <v>287</v>
      </c>
      <c r="B21" s="35"/>
      <c r="C21" s="35"/>
    </row>
    <row r="22" spans="1:6" x14ac:dyDescent="0.25">
      <c r="A22" t="s">
        <v>11</v>
      </c>
      <c r="B22" s="28">
        <v>4750000</v>
      </c>
    </row>
    <row r="23" spans="1:6" x14ac:dyDescent="0.25">
      <c r="A23" t="s">
        <v>288</v>
      </c>
      <c r="B23" s="31">
        <f>IFERROR(B22/B7,"")</f>
        <v>395833.33333333331</v>
      </c>
    </row>
    <row r="24" spans="1:6" x14ac:dyDescent="0.25">
      <c r="A24" t="s">
        <v>289</v>
      </c>
      <c r="B24" s="38">
        <f>IFERROR(B22/B8,"")</f>
        <v>652.47252747252742</v>
      </c>
    </row>
    <row r="25" spans="1:6" x14ac:dyDescent="0.25">
      <c r="A25" t="s">
        <v>290</v>
      </c>
      <c r="B25" s="39">
        <v>5.5899999999999998E-2</v>
      </c>
    </row>
    <row r="26" spans="1:6" x14ac:dyDescent="0.25">
      <c r="A26" t="s">
        <v>291</v>
      </c>
      <c r="B26" s="40">
        <v>12.76</v>
      </c>
    </row>
    <row r="28" spans="1:6" x14ac:dyDescent="0.25">
      <c r="A28" s="34" t="s">
        <v>292</v>
      </c>
      <c r="B28" s="35"/>
      <c r="C28" s="35"/>
      <c r="D28" s="35"/>
      <c r="E28" s="35"/>
      <c r="F28" s="35"/>
    </row>
    <row r="29" spans="1:6" x14ac:dyDescent="0.25">
      <c r="A29" s="41" t="s">
        <v>293</v>
      </c>
      <c r="B29" s="41" t="s">
        <v>294</v>
      </c>
      <c r="C29" s="41" t="s">
        <v>295</v>
      </c>
      <c r="D29" s="41" t="s">
        <v>296</v>
      </c>
      <c r="E29" s="41" t="s">
        <v>297</v>
      </c>
      <c r="F29" s="41" t="s">
        <v>298</v>
      </c>
    </row>
    <row r="30" spans="1:6" x14ac:dyDescent="0.25">
      <c r="A30" t="s">
        <v>509</v>
      </c>
      <c r="B30" s="36">
        <v>11</v>
      </c>
      <c r="C30" s="56">
        <v>2610</v>
      </c>
      <c r="D30" s="51">
        <f>B30*C30</f>
        <v>28710</v>
      </c>
      <c r="E30" s="51">
        <f>D30*12</f>
        <v>344520</v>
      </c>
      <c r="F30" s="52" t="s">
        <v>549</v>
      </c>
    </row>
    <row r="31" spans="1:6" x14ac:dyDescent="0.25">
      <c r="A31" t="s">
        <v>510</v>
      </c>
      <c r="B31" s="36">
        <v>1</v>
      </c>
      <c r="C31" s="56">
        <v>2295</v>
      </c>
      <c r="D31" s="51">
        <f>B31*C31</f>
        <v>2295</v>
      </c>
      <c r="E31" s="51">
        <f>D31*12</f>
        <v>27540</v>
      </c>
      <c r="F31" s="52" t="s">
        <v>549</v>
      </c>
    </row>
    <row r="32" spans="1:6" x14ac:dyDescent="0.25">
      <c r="A32" s="42" t="s">
        <v>303</v>
      </c>
      <c r="B32" s="43">
        <f>SUM(B30:B31)</f>
        <v>12</v>
      </c>
      <c r="C32" s="44">
        <f>IFERROR(D32/B32,"")</f>
        <v>2583.75</v>
      </c>
      <c r="D32" s="44">
        <f>SUM(D30:D31)</f>
        <v>31005</v>
      </c>
      <c r="E32" s="44">
        <f>SUM(E30:E31)</f>
        <v>372060</v>
      </c>
    </row>
    <row r="34" spans="1:6" x14ac:dyDescent="0.25">
      <c r="A34" s="34" t="s">
        <v>304</v>
      </c>
      <c r="B34" s="35"/>
      <c r="C34" s="35"/>
      <c r="D34" s="35"/>
      <c r="E34" s="35"/>
      <c r="F34" s="35"/>
    </row>
    <row r="35" spans="1:6" x14ac:dyDescent="0.25">
      <c r="A35" s="45"/>
      <c r="B35" s="45" t="s">
        <v>305</v>
      </c>
      <c r="C35" s="45" t="s">
        <v>306</v>
      </c>
      <c r="D35" s="45"/>
      <c r="E35" s="45"/>
      <c r="F35" s="45" t="s">
        <v>307</v>
      </c>
    </row>
    <row r="36" spans="1:6" x14ac:dyDescent="0.25">
      <c r="A36" t="s">
        <v>308</v>
      </c>
      <c r="B36" s="51">
        <v>372120</v>
      </c>
      <c r="C36" s="31">
        <f>E32</f>
        <v>372060</v>
      </c>
      <c r="F36" s="26" t="s">
        <v>550</v>
      </c>
    </row>
    <row r="37" spans="1:6" x14ac:dyDescent="0.25">
      <c r="A37" t="s">
        <v>310</v>
      </c>
      <c r="B37" s="31">
        <v>0</v>
      </c>
      <c r="C37" s="28">
        <v>0</v>
      </c>
    </row>
    <row r="38" spans="1:6" x14ac:dyDescent="0.25">
      <c r="A38" s="42" t="s">
        <v>311</v>
      </c>
      <c r="B38" s="31">
        <f>B36+B37</f>
        <v>372120</v>
      </c>
      <c r="C38" s="31">
        <f>C36+C37</f>
        <v>372060</v>
      </c>
    </row>
    <row r="39" spans="1:6" x14ac:dyDescent="0.25">
      <c r="A39" t="s">
        <v>312</v>
      </c>
      <c r="B39" s="31">
        <f>-B36*0.03</f>
        <v>-11163.6</v>
      </c>
      <c r="C39" s="31">
        <f>-C36*Assumptions!$B$3</f>
        <v>-11161.8</v>
      </c>
      <c r="F39" s="26" t="s">
        <v>499</v>
      </c>
    </row>
    <row r="40" spans="1:6" x14ac:dyDescent="0.25">
      <c r="A40" s="42" t="s">
        <v>314</v>
      </c>
      <c r="B40" s="44">
        <f>B38+B39</f>
        <v>360956.4</v>
      </c>
      <c r="C40" s="44">
        <f>C38+C39</f>
        <v>360898.2</v>
      </c>
    </row>
    <row r="42" spans="1:6" x14ac:dyDescent="0.25">
      <c r="A42" s="34" t="s">
        <v>315</v>
      </c>
      <c r="B42" s="35"/>
      <c r="C42" s="35"/>
      <c r="D42" s="35"/>
      <c r="E42" s="35"/>
      <c r="F42" s="35"/>
    </row>
    <row r="43" spans="1:6" x14ac:dyDescent="0.25">
      <c r="A43" s="45" t="s">
        <v>316</v>
      </c>
      <c r="B43" s="45" t="s">
        <v>305</v>
      </c>
      <c r="C43" s="45" t="s">
        <v>317</v>
      </c>
      <c r="D43" s="45" t="s">
        <v>306</v>
      </c>
      <c r="E43" s="45" t="s">
        <v>318</v>
      </c>
      <c r="F43" s="45" t="s">
        <v>307</v>
      </c>
    </row>
    <row r="44" spans="1:6" x14ac:dyDescent="0.25">
      <c r="A44" t="s">
        <v>319</v>
      </c>
      <c r="B44" s="51">
        <v>59056</v>
      </c>
      <c r="C44" s="31">
        <f>B22*Assumptions!$B$16</f>
        <v>54625</v>
      </c>
      <c r="D44" s="46">
        <f>C44</f>
        <v>54625</v>
      </c>
      <c r="E44" s="31">
        <f t="shared" ref="E44:E52" si="0">IF(ISNUMBER(B44),D44-B44,"")</f>
        <v>-4431</v>
      </c>
      <c r="F44" s="26" t="s">
        <v>320</v>
      </c>
    </row>
    <row r="45" spans="1:6" x14ac:dyDescent="0.25">
      <c r="A45" t="s">
        <v>321</v>
      </c>
      <c r="B45" s="51">
        <v>6200</v>
      </c>
      <c r="C45" s="31">
        <f>B7*Assumptions!$B$5+B8*Assumptions!$B$6</f>
        <v>9680</v>
      </c>
      <c r="D45" s="46">
        <f t="shared" ref="D45:D51" si="1">IF(ISNUMBER(B45),MAX(B45,C45),C45)</f>
        <v>9680</v>
      </c>
      <c r="E45" s="31">
        <f t="shared" si="0"/>
        <v>3480</v>
      </c>
      <c r="F45" s="26" t="s">
        <v>322</v>
      </c>
    </row>
    <row r="46" spans="1:6" x14ac:dyDescent="0.25">
      <c r="A46" t="s">
        <v>323</v>
      </c>
      <c r="B46" s="51">
        <v>14438</v>
      </c>
      <c r="C46" s="31">
        <f>C40*Assumptions!$B$4</f>
        <v>18044.91</v>
      </c>
      <c r="D46" s="46">
        <f t="shared" si="1"/>
        <v>18044.91</v>
      </c>
      <c r="E46" s="31">
        <f t="shared" si="0"/>
        <v>3606.91</v>
      </c>
      <c r="F46" s="26" t="s">
        <v>324</v>
      </c>
    </row>
    <row r="47" spans="1:6" x14ac:dyDescent="0.25">
      <c r="A47" t="s">
        <v>325</v>
      </c>
      <c r="B47" s="51">
        <v>6000</v>
      </c>
      <c r="C47" s="31">
        <f>B7*Assumptions!$B$7</f>
        <v>14400</v>
      </c>
      <c r="D47" s="46">
        <f t="shared" si="1"/>
        <v>14400</v>
      </c>
      <c r="E47" s="31">
        <f t="shared" si="0"/>
        <v>8400</v>
      </c>
      <c r="F47" s="26" t="s">
        <v>326</v>
      </c>
    </row>
    <row r="48" spans="1:6" x14ac:dyDescent="0.25">
      <c r="A48" t="s">
        <v>327</v>
      </c>
      <c r="B48" s="51">
        <v>4400</v>
      </c>
      <c r="C48" s="31">
        <f>B7*Assumptions!$B$10</f>
        <v>21600</v>
      </c>
      <c r="D48" s="46">
        <f t="shared" si="1"/>
        <v>21600</v>
      </c>
      <c r="E48" s="31">
        <f t="shared" si="0"/>
        <v>17200</v>
      </c>
      <c r="F48" s="26" t="s">
        <v>500</v>
      </c>
    </row>
    <row r="49" spans="1:6" x14ac:dyDescent="0.25">
      <c r="A49" t="s">
        <v>329</v>
      </c>
      <c r="B49" s="51"/>
      <c r="C49" s="31">
        <f>B7*Assumptions!$B$12</f>
        <v>4800</v>
      </c>
      <c r="D49" s="46">
        <f t="shared" si="1"/>
        <v>4800</v>
      </c>
      <c r="E49" s="31" t="str">
        <f t="shared" si="0"/>
        <v/>
      </c>
      <c r="F49" s="26" t="s">
        <v>330</v>
      </c>
    </row>
    <row r="50" spans="1:6" x14ac:dyDescent="0.25">
      <c r="A50" t="s">
        <v>388</v>
      </c>
      <c r="B50" s="51">
        <v>5400</v>
      </c>
      <c r="C50" s="31">
        <f>B7*Assumptions!$B$13</f>
        <v>3000</v>
      </c>
      <c r="D50" s="46">
        <f t="shared" si="1"/>
        <v>5400</v>
      </c>
      <c r="E50" s="31">
        <f t="shared" si="0"/>
        <v>0</v>
      </c>
      <c r="F50" s="26" t="s">
        <v>511</v>
      </c>
    </row>
    <row r="51" spans="1:6" x14ac:dyDescent="0.25">
      <c r="A51" t="s">
        <v>333</v>
      </c>
      <c r="B51" s="51"/>
      <c r="C51" s="31">
        <f>B7*Assumptions!$B$14</f>
        <v>3600</v>
      </c>
      <c r="D51" s="46">
        <f t="shared" si="1"/>
        <v>3600</v>
      </c>
      <c r="E51" s="31" t="str">
        <f t="shared" si="0"/>
        <v/>
      </c>
      <c r="F51" s="26" t="s">
        <v>330</v>
      </c>
    </row>
    <row r="52" spans="1:6" x14ac:dyDescent="0.25">
      <c r="A52" s="42" t="s">
        <v>334</v>
      </c>
      <c r="B52" s="44">
        <f>SUM(B44:B51)</f>
        <v>95494</v>
      </c>
      <c r="C52" s="44">
        <f>SUM(C44:C51)</f>
        <v>129749.91</v>
      </c>
      <c r="D52" s="44">
        <f>SUM(D44:D51)</f>
        <v>132149.91</v>
      </c>
      <c r="E52" s="44">
        <f t="shared" si="0"/>
        <v>36655.910000000003</v>
      </c>
      <c r="F52" s="26" t="s">
        <v>551</v>
      </c>
    </row>
    <row r="53" spans="1:6" x14ac:dyDescent="0.25">
      <c r="A53" t="s">
        <v>336</v>
      </c>
      <c r="B53" s="31">
        <f>IFERROR(B52/B7,"")</f>
        <v>7957.833333333333</v>
      </c>
      <c r="C53" s="31">
        <f>IFERROR(C52/B7,"")</f>
        <v>10812.4925</v>
      </c>
      <c r="D53" s="31">
        <f>IFERROR(D52/B7,"")</f>
        <v>11012.4925</v>
      </c>
    </row>
    <row r="54" spans="1:6" x14ac:dyDescent="0.25">
      <c r="A54" t="s">
        <v>337</v>
      </c>
      <c r="B54" s="39">
        <f>IFERROR(B52/B40,"")</f>
        <v>0.26455826797917975</v>
      </c>
      <c r="C54" s="39">
        <f>IFERROR(C52/C40,"")</f>
        <v>0.35951941572443419</v>
      </c>
      <c r="D54" s="39">
        <f>IF(C36&gt;0,IFERROR(D52/C40,""),"")</f>
        <v>0.36616949045464897</v>
      </c>
    </row>
    <row r="55" spans="1:6" x14ac:dyDescent="0.25">
      <c r="A55" s="42" t="s">
        <v>18</v>
      </c>
      <c r="B55" s="47" t="str">
        <f>IF(ISNUMBER(B52),IF(D52&gt;B52*(1+Assumptions!$B$24),"OM EXPENSES LIGHT","OM expenses reasonable"),"OM expenses not published")</f>
        <v>OM EXPENSES LIGHT</v>
      </c>
    </row>
    <row r="57" spans="1:6" x14ac:dyDescent="0.25">
      <c r="A57" s="34" t="s">
        <v>338</v>
      </c>
      <c r="B57" s="35"/>
      <c r="C57" s="35"/>
      <c r="D57" s="35"/>
      <c r="E57" s="35"/>
      <c r="F57" s="35"/>
    </row>
    <row r="58" spans="1:6" x14ac:dyDescent="0.25">
      <c r="A58" s="45"/>
      <c r="B58" s="45" t="s">
        <v>305</v>
      </c>
      <c r="C58" s="45" t="s">
        <v>306</v>
      </c>
      <c r="D58" s="45"/>
      <c r="E58" s="45"/>
      <c r="F58" s="45" t="s">
        <v>307</v>
      </c>
    </row>
    <row r="59" spans="1:6" x14ac:dyDescent="0.25">
      <c r="A59" s="42" t="s">
        <v>339</v>
      </c>
      <c r="B59" s="44">
        <f>B40-B52</f>
        <v>265462.40000000002</v>
      </c>
      <c r="C59" s="44">
        <f>IF(C36&gt;0,C40-D52,"")</f>
        <v>228748.29</v>
      </c>
      <c r="F59" t="s">
        <v>512</v>
      </c>
    </row>
    <row r="60" spans="1:6" x14ac:dyDescent="0.25">
      <c r="A60" s="42" t="s">
        <v>340</v>
      </c>
      <c r="B60" s="39">
        <f>IFERROR(B59/B22,"")</f>
        <v>5.5886821052631583E-2</v>
      </c>
      <c r="C60" s="39">
        <f>IF(C59="","",IFERROR(C59/B22,""))</f>
        <v>4.815753473684211E-2</v>
      </c>
      <c r="F60" s="26" t="s">
        <v>341</v>
      </c>
    </row>
    <row r="61" spans="1:6" x14ac:dyDescent="0.25">
      <c r="A61" t="s">
        <v>342</v>
      </c>
      <c r="B61" s="40">
        <f>IFERROR(B22/B36,"")</f>
        <v>12.764699559281953</v>
      </c>
      <c r="C61" s="40">
        <f>IF(C36&gt;0,IFERROR(B22/C36,""),"")</f>
        <v>12.766758049776918</v>
      </c>
    </row>
    <row r="62" spans="1:6" x14ac:dyDescent="0.25">
      <c r="A62" t="s">
        <v>343</v>
      </c>
      <c r="B62" s="31">
        <f>IFERROR(B59/B7,"")</f>
        <v>22121.866666666669</v>
      </c>
      <c r="C62" s="31">
        <f>IF(C59="","",IFERROR(C59/B7,""))</f>
        <v>19062.357500000002</v>
      </c>
    </row>
    <row r="64" spans="1:6" x14ac:dyDescent="0.25">
      <c r="A64" s="34" t="s">
        <v>344</v>
      </c>
      <c r="B64" s="35"/>
      <c r="C64" s="35"/>
      <c r="D64" s="35"/>
      <c r="E64" s="35"/>
      <c r="F64" s="35"/>
    </row>
    <row r="65" spans="1:2" x14ac:dyDescent="0.25">
      <c r="A65" t="s">
        <v>345</v>
      </c>
      <c r="B65" s="31">
        <f>IFERROR(B22*Assumptions!$B$20,"")</f>
        <v>2850000</v>
      </c>
    </row>
    <row r="66" spans="1:2" x14ac:dyDescent="0.25">
      <c r="A66" t="s">
        <v>346</v>
      </c>
      <c r="B66" s="31">
        <f>IF(C59="","",IFERROR(PV(Assumptions!$B$22/12,Assumptions!$B$23*12,-C59/Assumptions!$B$21/12),""))</f>
        <v>2476767.9040701189</v>
      </c>
    </row>
    <row r="67" spans="1:2" x14ac:dyDescent="0.25">
      <c r="A67" s="42" t="s">
        <v>347</v>
      </c>
      <c r="B67" s="31">
        <f>IFERROR(MIN(B65,B66),"")</f>
        <v>2476767.9040701189</v>
      </c>
    </row>
    <row r="68" spans="1:2" x14ac:dyDescent="0.25">
      <c r="A68" t="s">
        <v>348</v>
      </c>
      <c r="B68" s="31">
        <f>IFERROR(B22-B67,"")</f>
        <v>2273232.0959298811</v>
      </c>
    </row>
    <row r="69" spans="1:2" x14ac:dyDescent="0.25">
      <c r="A69" t="s">
        <v>349</v>
      </c>
      <c r="B69" s="31">
        <f>IFERROR(-PMT(Assumptions!$B$22/12,Assumptions!$B$23*12,B67)*12,"")</f>
        <v>182998.6319999994</v>
      </c>
    </row>
    <row r="70" spans="1:2" x14ac:dyDescent="0.25">
      <c r="A70" t="s">
        <v>350</v>
      </c>
      <c r="B70" s="40">
        <f>IFERROR(C59/B69,"")</f>
        <v>1.2500000000000042</v>
      </c>
    </row>
    <row r="71" spans="1:2" x14ac:dyDescent="0.25">
      <c r="A71" t="s">
        <v>351</v>
      </c>
      <c r="B71" s="31">
        <f>IFERROR(C59-B69,"")</f>
        <v>45749.658000000607</v>
      </c>
    </row>
    <row r="72" spans="1:2" x14ac:dyDescent="0.25">
      <c r="A72" t="s">
        <v>352</v>
      </c>
      <c r="B72" s="39">
        <f>IFERROR(B71/B68,"")</f>
        <v>2.0125379226306583E-2</v>
      </c>
    </row>
    <row r="74" spans="1:2" x14ac:dyDescent="0.25">
      <c r="A74" s="26" t="s">
        <v>353</v>
      </c>
    </row>
  </sheetData>
  <hyperlinks>
    <hyperlink ref="A3" r:id="rId1" xr:uid="{00000000-0004-0000-0B00-000000000000}"/>
  </hyperlinks>
  <pageMargins left="0.75" right="0.75" top="1" bottom="1" header="0.5" footer="0.5"/>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F74"/>
  <sheetViews>
    <sheetView showGridLines="0" workbookViewId="0">
      <pane ySplit="5" topLeftCell="A6" activePane="bottomLeft" state="frozen"/>
      <selection pane="bottomLeft"/>
    </sheetView>
  </sheetViews>
  <sheetFormatPr defaultRowHeight="15" x14ac:dyDescent="0.25"/>
  <cols>
    <col min="1" max="1" width="38" customWidth="1"/>
    <col min="2" max="5" width="16" customWidth="1"/>
    <col min="6" max="6" width="48" customWidth="1"/>
    <col min="7" max="7" width="12" customWidth="1"/>
  </cols>
  <sheetData>
    <row r="1" spans="1:3" ht="19.5" x14ac:dyDescent="0.3">
      <c r="A1" s="1" t="s">
        <v>89</v>
      </c>
    </row>
    <row r="2" spans="1:3" x14ac:dyDescent="0.25">
      <c r="A2" s="32" t="s">
        <v>381</v>
      </c>
    </row>
    <row r="3" spans="1:3" x14ac:dyDescent="0.25">
      <c r="A3" s="33" t="s">
        <v>271</v>
      </c>
      <c r="B3" s="26" t="s">
        <v>384</v>
      </c>
    </row>
    <row r="6" spans="1:3" x14ac:dyDescent="0.25">
      <c r="A6" s="34" t="s">
        <v>273</v>
      </c>
      <c r="B6" s="35"/>
      <c r="C6" s="35"/>
    </row>
    <row r="7" spans="1:3" x14ac:dyDescent="0.25">
      <c r="A7" t="s">
        <v>7</v>
      </c>
      <c r="B7" s="36">
        <v>20</v>
      </c>
    </row>
    <row r="8" spans="1:3" x14ac:dyDescent="0.25">
      <c r="A8" t="s">
        <v>274</v>
      </c>
      <c r="B8" s="36">
        <v>15820</v>
      </c>
    </row>
    <row r="9" spans="1:3" x14ac:dyDescent="0.25">
      <c r="A9" t="s">
        <v>10</v>
      </c>
      <c r="B9" s="36">
        <v>13939</v>
      </c>
    </row>
    <row r="10" spans="1:3" x14ac:dyDescent="0.25">
      <c r="A10" t="s">
        <v>275</v>
      </c>
      <c r="B10" s="37">
        <v>0.32</v>
      </c>
    </row>
    <row r="11" spans="1:3" x14ac:dyDescent="0.25">
      <c r="A11" t="s">
        <v>8</v>
      </c>
      <c r="B11">
        <v>1969</v>
      </c>
    </row>
    <row r="12" spans="1:3" x14ac:dyDescent="0.25">
      <c r="A12" t="s">
        <v>276</v>
      </c>
      <c r="B12" t="s">
        <v>355</v>
      </c>
    </row>
    <row r="13" spans="1:3" x14ac:dyDescent="0.25">
      <c r="A13" t="s">
        <v>278</v>
      </c>
      <c r="B13" t="s">
        <v>385</v>
      </c>
    </row>
    <row r="14" spans="1:3" x14ac:dyDescent="0.25">
      <c r="A14" t="s">
        <v>280</v>
      </c>
      <c r="B14" t="s">
        <v>90</v>
      </c>
    </row>
    <row r="15" spans="1:3" x14ac:dyDescent="0.25">
      <c r="A15" t="s">
        <v>281</v>
      </c>
      <c r="B15" t="s">
        <v>386</v>
      </c>
    </row>
    <row r="16" spans="1:3" x14ac:dyDescent="0.25">
      <c r="A16" t="s">
        <v>283</v>
      </c>
      <c r="B16" s="31">
        <v>2259813</v>
      </c>
    </row>
    <row r="17" spans="1:6" x14ac:dyDescent="0.25">
      <c r="A17" t="s">
        <v>284</v>
      </c>
      <c r="B17" t="s">
        <v>91</v>
      </c>
    </row>
    <row r="18" spans="1:6" x14ac:dyDescent="0.25">
      <c r="A18" t="s">
        <v>285</v>
      </c>
      <c r="B18" t="s">
        <v>92</v>
      </c>
    </row>
    <row r="19" spans="1:6" x14ac:dyDescent="0.25">
      <c r="A19" t="s">
        <v>286</v>
      </c>
      <c r="B19" t="s">
        <v>93</v>
      </c>
    </row>
    <row r="21" spans="1:6" x14ac:dyDescent="0.25">
      <c r="A21" s="34" t="s">
        <v>287</v>
      </c>
      <c r="B21" s="35"/>
      <c r="C21" s="35"/>
    </row>
    <row r="22" spans="1:6" x14ac:dyDescent="0.25">
      <c r="A22" t="s">
        <v>11</v>
      </c>
      <c r="B22" s="28">
        <v>7750000</v>
      </c>
    </row>
    <row r="23" spans="1:6" x14ac:dyDescent="0.25">
      <c r="A23" t="s">
        <v>288</v>
      </c>
      <c r="B23" s="31">
        <f>IFERROR(B22/B7,"")</f>
        <v>387500</v>
      </c>
    </row>
    <row r="24" spans="1:6" x14ac:dyDescent="0.25">
      <c r="A24" t="s">
        <v>289</v>
      </c>
      <c r="B24" s="38">
        <f>IFERROR(B22/B8,"")</f>
        <v>489.88621997471557</v>
      </c>
    </row>
    <row r="25" spans="1:6" x14ac:dyDescent="0.25">
      <c r="A25" t="s">
        <v>290</v>
      </c>
      <c r="B25" s="39">
        <v>5.57E-2</v>
      </c>
    </row>
    <row r="26" spans="1:6" x14ac:dyDescent="0.25">
      <c r="A26" t="s">
        <v>291</v>
      </c>
      <c r="B26" s="40">
        <v>12.15</v>
      </c>
    </row>
    <row r="28" spans="1:6" x14ac:dyDescent="0.25">
      <c r="A28" s="34" t="s">
        <v>292</v>
      </c>
      <c r="B28" s="35"/>
      <c r="C28" s="35"/>
      <c r="D28" s="35"/>
      <c r="E28" s="35"/>
      <c r="F28" s="35"/>
    </row>
    <row r="29" spans="1:6" x14ac:dyDescent="0.25">
      <c r="A29" s="41" t="s">
        <v>293</v>
      </c>
      <c r="B29" s="41" t="s">
        <v>294</v>
      </c>
      <c r="C29" s="41" t="s">
        <v>295</v>
      </c>
      <c r="D29" s="41" t="s">
        <v>296</v>
      </c>
      <c r="E29" s="41" t="s">
        <v>297</v>
      </c>
      <c r="F29" s="41" t="s">
        <v>298</v>
      </c>
    </row>
    <row r="30" spans="1:6" x14ac:dyDescent="0.25">
      <c r="A30" t="s">
        <v>299</v>
      </c>
      <c r="B30" s="36">
        <v>8</v>
      </c>
      <c r="C30" s="28">
        <v>2927</v>
      </c>
      <c r="D30" s="31">
        <f>B30*C30</f>
        <v>23416</v>
      </c>
      <c r="E30" s="31">
        <f>D30*12</f>
        <v>280992</v>
      </c>
      <c r="F30" s="26" t="s">
        <v>38</v>
      </c>
    </row>
    <row r="31" spans="1:6" x14ac:dyDescent="0.25">
      <c r="A31" t="s">
        <v>302</v>
      </c>
      <c r="B31" s="36">
        <v>12</v>
      </c>
      <c r="C31" s="28">
        <v>2425</v>
      </c>
      <c r="D31" s="31">
        <f>B31*C31</f>
        <v>29100</v>
      </c>
      <c r="E31" s="31">
        <f>D31*12</f>
        <v>349200</v>
      </c>
      <c r="F31" s="26" t="s">
        <v>38</v>
      </c>
    </row>
    <row r="32" spans="1:6" x14ac:dyDescent="0.25">
      <c r="A32" s="42" t="s">
        <v>303</v>
      </c>
      <c r="B32" s="43">
        <f>SUM(B30:B31)</f>
        <v>20</v>
      </c>
      <c r="C32" s="44">
        <f>IFERROR(D32/B32,"")</f>
        <v>2625.8</v>
      </c>
      <c r="D32" s="44">
        <f>SUM(D30:D31)</f>
        <v>52516</v>
      </c>
      <c r="E32" s="44">
        <f>SUM(E30:E31)</f>
        <v>630192</v>
      </c>
    </row>
    <row r="34" spans="1:6" x14ac:dyDescent="0.25">
      <c r="A34" s="34" t="s">
        <v>304</v>
      </c>
      <c r="B34" s="35"/>
      <c r="C34" s="35"/>
      <c r="D34" s="35"/>
      <c r="E34" s="35"/>
      <c r="F34" s="35"/>
    </row>
    <row r="35" spans="1:6" x14ac:dyDescent="0.25">
      <c r="A35" s="45"/>
      <c r="B35" s="45" t="s">
        <v>305</v>
      </c>
      <c r="C35" s="45" t="s">
        <v>306</v>
      </c>
      <c r="D35" s="45"/>
      <c r="E35" s="45"/>
      <c r="F35" s="45" t="s">
        <v>307</v>
      </c>
    </row>
    <row r="36" spans="1:6" x14ac:dyDescent="0.25">
      <c r="A36" t="s">
        <v>308</v>
      </c>
      <c r="B36" s="31">
        <v>631196</v>
      </c>
      <c r="C36" s="31">
        <f>E32</f>
        <v>630192</v>
      </c>
      <c r="F36" s="26" t="s">
        <v>387</v>
      </c>
    </row>
    <row r="37" spans="1:6" x14ac:dyDescent="0.25">
      <c r="A37" t="s">
        <v>310</v>
      </c>
      <c r="B37" s="31">
        <v>7740</v>
      </c>
      <c r="C37" s="28">
        <v>7740</v>
      </c>
    </row>
    <row r="38" spans="1:6" x14ac:dyDescent="0.25">
      <c r="A38" s="42" t="s">
        <v>311</v>
      </c>
      <c r="B38" s="31">
        <f>B36+B37</f>
        <v>638936</v>
      </c>
      <c r="C38" s="31">
        <f>C36+C37</f>
        <v>637932</v>
      </c>
    </row>
    <row r="39" spans="1:6" x14ac:dyDescent="0.25">
      <c r="A39" t="s">
        <v>312</v>
      </c>
      <c r="B39" s="31">
        <f>-B36*0.03</f>
        <v>-18935.88</v>
      </c>
      <c r="C39" s="31">
        <f>-C36*Assumptions!$B$3</f>
        <v>-18905.759999999998</v>
      </c>
      <c r="F39" s="26" t="s">
        <v>313</v>
      </c>
    </row>
    <row r="40" spans="1:6" x14ac:dyDescent="0.25">
      <c r="A40" s="42" t="s">
        <v>314</v>
      </c>
      <c r="B40" s="44">
        <f>B38+B39</f>
        <v>620000.12</v>
      </c>
      <c r="C40" s="44">
        <f>C38+C39</f>
        <v>619026.24</v>
      </c>
    </row>
    <row r="42" spans="1:6" x14ac:dyDescent="0.25">
      <c r="A42" s="34" t="s">
        <v>315</v>
      </c>
      <c r="B42" s="35"/>
      <c r="C42" s="35"/>
      <c r="D42" s="35"/>
      <c r="E42" s="35"/>
      <c r="F42" s="35"/>
    </row>
    <row r="43" spans="1:6" x14ac:dyDescent="0.25">
      <c r="A43" s="45" t="s">
        <v>316</v>
      </c>
      <c r="B43" s="45" t="s">
        <v>305</v>
      </c>
      <c r="C43" s="45" t="s">
        <v>317</v>
      </c>
      <c r="D43" s="45" t="s">
        <v>306</v>
      </c>
      <c r="E43" s="45" t="s">
        <v>318</v>
      </c>
      <c r="F43" s="45" t="s">
        <v>307</v>
      </c>
    </row>
    <row r="44" spans="1:6" x14ac:dyDescent="0.25">
      <c r="A44" t="s">
        <v>319</v>
      </c>
      <c r="B44" s="31">
        <v>93000</v>
      </c>
      <c r="C44" s="31">
        <f>B22*Assumptions!$B$16</f>
        <v>89125</v>
      </c>
      <c r="D44" s="46">
        <f>C44</f>
        <v>89125</v>
      </c>
      <c r="E44" s="31">
        <f t="shared" ref="E44:E52" si="0">IF(ISNUMBER(B44),D44-B44,"")</f>
        <v>-3875</v>
      </c>
      <c r="F44" s="26" t="s">
        <v>320</v>
      </c>
    </row>
    <row r="45" spans="1:6" x14ac:dyDescent="0.25">
      <c r="A45" t="s">
        <v>321</v>
      </c>
      <c r="B45" s="31">
        <v>15820</v>
      </c>
      <c r="C45" s="31">
        <f>B7*Assumptions!$B$5+B8*Assumptions!$B$6</f>
        <v>19820</v>
      </c>
      <c r="D45" s="46">
        <f t="shared" ref="D45:D51" si="1">IF(ISNUMBER(B45),MAX(B45,C45),C45)</f>
        <v>19820</v>
      </c>
      <c r="E45" s="31">
        <f t="shared" si="0"/>
        <v>4000</v>
      </c>
      <c r="F45" s="26" t="s">
        <v>322</v>
      </c>
    </row>
    <row r="46" spans="1:6" x14ac:dyDescent="0.25">
      <c r="A46" t="s">
        <v>323</v>
      </c>
      <c r="B46" s="31">
        <v>24388</v>
      </c>
      <c r="C46" s="31">
        <f>C40*Assumptions!$B$4</f>
        <v>30951.312000000002</v>
      </c>
      <c r="D46" s="46">
        <f t="shared" si="1"/>
        <v>30951.312000000002</v>
      </c>
      <c r="E46" s="31">
        <f t="shared" si="0"/>
        <v>6563.3120000000017</v>
      </c>
      <c r="F46" s="26" t="s">
        <v>324</v>
      </c>
    </row>
    <row r="47" spans="1:6" x14ac:dyDescent="0.25">
      <c r="A47" t="s">
        <v>325</v>
      </c>
      <c r="B47" s="31">
        <v>22000</v>
      </c>
      <c r="C47" s="31">
        <f>B7*Assumptions!$B$7</f>
        <v>24000</v>
      </c>
      <c r="D47" s="46">
        <f t="shared" si="1"/>
        <v>24000</v>
      </c>
      <c r="E47" s="31">
        <f t="shared" si="0"/>
        <v>2000</v>
      </c>
      <c r="F47" s="26" t="s">
        <v>326</v>
      </c>
    </row>
    <row r="48" spans="1:6" x14ac:dyDescent="0.25">
      <c r="A48" t="s">
        <v>327</v>
      </c>
      <c r="B48" s="31">
        <v>20000</v>
      </c>
      <c r="C48" s="31">
        <f>B7*Assumptions!$B$10</f>
        <v>36000</v>
      </c>
      <c r="D48" s="46">
        <f t="shared" si="1"/>
        <v>36000</v>
      </c>
      <c r="E48" s="31">
        <f t="shared" si="0"/>
        <v>16000</v>
      </c>
      <c r="F48" s="26" t="s">
        <v>328</v>
      </c>
    </row>
    <row r="49" spans="1:6" x14ac:dyDescent="0.25">
      <c r="A49" t="s">
        <v>329</v>
      </c>
      <c r="B49" s="31">
        <v>2400</v>
      </c>
      <c r="C49" s="31">
        <f>B7*Assumptions!$B$12</f>
        <v>8000</v>
      </c>
      <c r="D49" s="46">
        <f t="shared" si="1"/>
        <v>8000</v>
      </c>
      <c r="E49" s="31">
        <f t="shared" si="0"/>
        <v>5600</v>
      </c>
      <c r="F49" s="26" t="s">
        <v>330</v>
      </c>
    </row>
    <row r="50" spans="1:6" x14ac:dyDescent="0.25">
      <c r="A50" t="s">
        <v>388</v>
      </c>
      <c r="B50" s="31">
        <v>9180</v>
      </c>
      <c r="C50" s="31">
        <f>B7*Assumptions!$B$13</f>
        <v>5000</v>
      </c>
      <c r="D50" s="46">
        <f t="shared" si="1"/>
        <v>9180</v>
      </c>
      <c r="E50" s="31">
        <f t="shared" si="0"/>
        <v>0</v>
      </c>
      <c r="F50" s="26" t="s">
        <v>389</v>
      </c>
    </row>
    <row r="51" spans="1:6" x14ac:dyDescent="0.25">
      <c r="A51" t="s">
        <v>333</v>
      </c>
      <c r="B51" s="31"/>
      <c r="C51" s="31">
        <f>B7*Assumptions!$B$14</f>
        <v>6000</v>
      </c>
      <c r="D51" s="46">
        <f t="shared" si="1"/>
        <v>6000</v>
      </c>
      <c r="E51" s="31" t="str">
        <f t="shared" si="0"/>
        <v/>
      </c>
      <c r="F51" s="26" t="s">
        <v>330</v>
      </c>
    </row>
    <row r="52" spans="1:6" x14ac:dyDescent="0.25">
      <c r="A52" s="42" t="s">
        <v>334</v>
      </c>
      <c r="B52" s="44">
        <f>SUM(B44:B51)</f>
        <v>186788</v>
      </c>
      <c r="C52" s="44">
        <f>SUM(C44:C51)</f>
        <v>218896.31200000001</v>
      </c>
      <c r="D52" s="44">
        <f>SUM(D44:D51)</f>
        <v>223076.31200000001</v>
      </c>
      <c r="E52" s="44">
        <f t="shared" si="0"/>
        <v>36288.312000000005</v>
      </c>
      <c r="F52" s="26" t="s">
        <v>390</v>
      </c>
    </row>
    <row r="53" spans="1:6" x14ac:dyDescent="0.25">
      <c r="A53" t="s">
        <v>336</v>
      </c>
      <c r="B53" s="31">
        <f>IFERROR(B52/B7,"")</f>
        <v>9339.4</v>
      </c>
      <c r="C53" s="31">
        <f>IFERROR(C52/B7,"")</f>
        <v>10944.8156</v>
      </c>
      <c r="D53" s="31">
        <f>IFERROR(D52/B7,"")</f>
        <v>11153.8156</v>
      </c>
    </row>
    <row r="54" spans="1:6" x14ac:dyDescent="0.25">
      <c r="A54" t="s">
        <v>337</v>
      </c>
      <c r="B54" s="39">
        <f>IFERROR(B52/B40,"")</f>
        <v>0.30127090943143686</v>
      </c>
      <c r="C54" s="39">
        <f>IFERROR(C52/C40,"")</f>
        <v>0.3536139469628945</v>
      </c>
      <c r="D54" s="39">
        <f>IF(C36&gt;0,IFERROR(D52/C40,""),"")</f>
        <v>0.36036648785679909</v>
      </c>
    </row>
    <row r="55" spans="1:6" x14ac:dyDescent="0.25">
      <c r="A55" s="42" t="s">
        <v>18</v>
      </c>
      <c r="B55" s="47" t="str">
        <f>IF(ISNUMBER(B52),IF(D52&gt;B52*(1+Assumptions!$B$24),"OM EXPENSES LIGHT","OM expenses reasonable"),"OM expenses not published")</f>
        <v>OM EXPENSES LIGHT</v>
      </c>
    </row>
    <row r="57" spans="1:6" x14ac:dyDescent="0.25">
      <c r="A57" s="34" t="s">
        <v>338</v>
      </c>
      <c r="B57" s="35"/>
      <c r="C57" s="35"/>
      <c r="D57" s="35"/>
      <c r="E57" s="35"/>
      <c r="F57" s="35"/>
    </row>
    <row r="58" spans="1:6" x14ac:dyDescent="0.25">
      <c r="A58" s="45"/>
      <c r="B58" s="45" t="s">
        <v>305</v>
      </c>
      <c r="C58" s="45" t="s">
        <v>306</v>
      </c>
      <c r="D58" s="45"/>
      <c r="E58" s="45"/>
      <c r="F58" s="45" t="s">
        <v>307</v>
      </c>
    </row>
    <row r="59" spans="1:6" x14ac:dyDescent="0.25">
      <c r="A59" s="42" t="s">
        <v>339</v>
      </c>
      <c r="B59" s="44">
        <f>B40-B52</f>
        <v>433212.12</v>
      </c>
      <c r="C59" s="44">
        <f>IF(C36&gt;0,C40-D52,"")</f>
        <v>395949.92799999996</v>
      </c>
    </row>
    <row r="60" spans="1:6" x14ac:dyDescent="0.25">
      <c r="A60" s="42" t="s">
        <v>340</v>
      </c>
      <c r="B60" s="39">
        <f>IFERROR(B59/B22,"")</f>
        <v>5.5898338064516127E-2</v>
      </c>
      <c r="C60" s="39">
        <f>IF(C59="","",IFERROR(C59/B22,""))</f>
        <v>5.1090313290322577E-2</v>
      </c>
      <c r="F60" s="26" t="s">
        <v>341</v>
      </c>
    </row>
    <row r="61" spans="1:6" x14ac:dyDescent="0.25">
      <c r="A61" t="s">
        <v>342</v>
      </c>
      <c r="B61" s="40">
        <f>IFERROR(B22/B36,"")</f>
        <v>12.278278062598622</v>
      </c>
      <c r="C61" s="40">
        <f>IF(C36&gt;0,IFERROR(B22/C36,""),"")</f>
        <v>12.297839388630766</v>
      </c>
    </row>
    <row r="62" spans="1:6" x14ac:dyDescent="0.25">
      <c r="A62" t="s">
        <v>343</v>
      </c>
      <c r="B62" s="31">
        <f>IFERROR(B59/B7,"")</f>
        <v>21660.606</v>
      </c>
      <c r="C62" s="31">
        <f>IF(C59="","",IFERROR(C59/B7,""))</f>
        <v>19797.496399999996</v>
      </c>
    </row>
    <row r="64" spans="1:6" x14ac:dyDescent="0.25">
      <c r="A64" s="34" t="s">
        <v>344</v>
      </c>
      <c r="B64" s="35"/>
      <c r="C64" s="35"/>
      <c r="D64" s="35"/>
      <c r="E64" s="35"/>
      <c r="F64" s="35"/>
    </row>
    <row r="65" spans="1:2" x14ac:dyDescent="0.25">
      <c r="A65" t="s">
        <v>345</v>
      </c>
      <c r="B65" s="31">
        <f>IFERROR(B22*Assumptions!$B$20,"")</f>
        <v>4650000</v>
      </c>
    </row>
    <row r="66" spans="1:2" x14ac:dyDescent="0.25">
      <c r="A66" t="s">
        <v>346</v>
      </c>
      <c r="B66" s="31">
        <f>IF(C59="","",IFERROR(PV(Assumptions!$B$22/12,Assumptions!$B$23*12,-C59/Assumptions!$B$21/12),""))</f>
        <v>4287140.565244331</v>
      </c>
    </row>
    <row r="67" spans="1:2" x14ac:dyDescent="0.25">
      <c r="A67" s="42" t="s">
        <v>347</v>
      </c>
      <c r="B67" s="31">
        <f>IFERROR(MIN(B65,B66),"")</f>
        <v>4287140.565244331</v>
      </c>
    </row>
    <row r="68" spans="1:2" x14ac:dyDescent="0.25">
      <c r="A68" t="s">
        <v>348</v>
      </c>
      <c r="B68" s="31">
        <f>IFERROR(B22-B67,"")</f>
        <v>3462859.434755669</v>
      </c>
    </row>
    <row r="69" spans="1:2" x14ac:dyDescent="0.25">
      <c r="A69" t="s">
        <v>349</v>
      </c>
      <c r="B69" s="31">
        <f>IFERROR(-PMT(Assumptions!$B$22/12,Assumptions!$B$23*12,B67)*12,"")</f>
        <v>316759.94239999889</v>
      </c>
    </row>
    <row r="70" spans="1:2" x14ac:dyDescent="0.25">
      <c r="A70" t="s">
        <v>350</v>
      </c>
      <c r="B70" s="40">
        <f>IFERROR(C59/B69,"")</f>
        <v>1.2500000000000042</v>
      </c>
    </row>
    <row r="71" spans="1:2" x14ac:dyDescent="0.25">
      <c r="A71" t="s">
        <v>351</v>
      </c>
      <c r="B71" s="31">
        <f>IFERROR(C59-B69,"")</f>
        <v>79189.985600001062</v>
      </c>
    </row>
    <row r="72" spans="1:2" x14ac:dyDescent="0.25">
      <c r="A72" t="s">
        <v>352</v>
      </c>
      <c r="B72" s="39">
        <f>IFERROR(B71/B68,"")</f>
        <v>2.2868380046038028E-2</v>
      </c>
    </row>
    <row r="74" spans="1:2" x14ac:dyDescent="0.25">
      <c r="A74" s="26" t="s">
        <v>353</v>
      </c>
    </row>
  </sheetData>
  <hyperlinks>
    <hyperlink ref="A3" r:id="rId1" xr:uid="{00000000-0004-0000-0C00-000000000000}"/>
  </hyperlinks>
  <pageMargins left="0.75" right="0.75" top="1" bottom="1" header="0.5" footer="0.5"/>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74"/>
  <sheetViews>
    <sheetView showGridLines="0" workbookViewId="0">
      <pane ySplit="5" topLeftCell="A6" activePane="bottomLeft" state="frozen"/>
      <selection pane="bottomLeft"/>
    </sheetView>
  </sheetViews>
  <sheetFormatPr defaultRowHeight="15" x14ac:dyDescent="0.25"/>
  <cols>
    <col min="1" max="1" width="38" customWidth="1"/>
    <col min="2" max="5" width="16" customWidth="1"/>
    <col min="6" max="6" width="48" customWidth="1"/>
    <col min="7" max="7" width="12" customWidth="1"/>
  </cols>
  <sheetData>
    <row r="1" spans="1:3" ht="19.5" x14ac:dyDescent="0.3">
      <c r="A1" s="1" t="s">
        <v>94</v>
      </c>
    </row>
    <row r="2" spans="1:3" x14ac:dyDescent="0.25">
      <c r="A2" s="32" t="s">
        <v>391</v>
      </c>
    </row>
    <row r="3" spans="1:3" x14ac:dyDescent="0.25">
      <c r="A3" s="33" t="s">
        <v>271</v>
      </c>
      <c r="B3" s="26" t="s">
        <v>556</v>
      </c>
    </row>
    <row r="4" spans="1:3" x14ac:dyDescent="0.25">
      <c r="A4" s="54" t="s">
        <v>565</v>
      </c>
    </row>
    <row r="6" spans="1:3" x14ac:dyDescent="0.25">
      <c r="A6" s="34" t="s">
        <v>273</v>
      </c>
      <c r="B6" s="35"/>
      <c r="C6" s="35"/>
    </row>
    <row r="7" spans="1:3" x14ac:dyDescent="0.25">
      <c r="A7" t="s">
        <v>7</v>
      </c>
      <c r="B7" s="36">
        <v>18</v>
      </c>
    </row>
    <row r="8" spans="1:3" x14ac:dyDescent="0.25">
      <c r="A8" t="s">
        <v>274</v>
      </c>
      <c r="B8" s="36">
        <v>13824</v>
      </c>
    </row>
    <row r="9" spans="1:3" x14ac:dyDescent="0.25">
      <c r="A9" t="s">
        <v>10</v>
      </c>
      <c r="B9" s="36">
        <v>15246</v>
      </c>
    </row>
    <row r="10" spans="1:3" x14ac:dyDescent="0.25">
      <c r="A10" t="s">
        <v>275</v>
      </c>
      <c r="B10" s="37">
        <v>0.35</v>
      </c>
    </row>
    <row r="11" spans="1:3" x14ac:dyDescent="0.25">
      <c r="A11" t="s">
        <v>8</v>
      </c>
      <c r="B11">
        <v>1949</v>
      </c>
    </row>
    <row r="12" spans="1:3" x14ac:dyDescent="0.25">
      <c r="A12" t="s">
        <v>276</v>
      </c>
      <c r="B12" t="s">
        <v>355</v>
      </c>
    </row>
    <row r="13" spans="1:3" x14ac:dyDescent="0.25">
      <c r="A13" t="s">
        <v>278</v>
      </c>
      <c r="B13" t="s">
        <v>392</v>
      </c>
    </row>
    <row r="14" spans="1:3" x14ac:dyDescent="0.25">
      <c r="A14" t="s">
        <v>280</v>
      </c>
      <c r="B14" t="s">
        <v>34</v>
      </c>
    </row>
    <row r="15" spans="1:3" x14ac:dyDescent="0.25">
      <c r="A15" t="s">
        <v>281</v>
      </c>
      <c r="B15" t="s">
        <v>393</v>
      </c>
    </row>
    <row r="16" spans="1:3" x14ac:dyDescent="0.25">
      <c r="A16" t="s">
        <v>283</v>
      </c>
      <c r="B16" s="31">
        <v>4287317</v>
      </c>
    </row>
    <row r="17" spans="1:6" x14ac:dyDescent="0.25">
      <c r="A17" t="s">
        <v>284</v>
      </c>
      <c r="B17" t="s">
        <v>97</v>
      </c>
    </row>
    <row r="18" spans="1:6" x14ac:dyDescent="0.25">
      <c r="A18" t="s">
        <v>285</v>
      </c>
      <c r="B18" t="s">
        <v>98</v>
      </c>
    </row>
    <row r="19" spans="1:6" x14ac:dyDescent="0.25">
      <c r="A19" t="s">
        <v>286</v>
      </c>
      <c r="B19" t="s">
        <v>99</v>
      </c>
    </row>
    <row r="21" spans="1:6" x14ac:dyDescent="0.25">
      <c r="A21" s="34" t="s">
        <v>287</v>
      </c>
      <c r="B21" s="35"/>
      <c r="C21" s="35"/>
    </row>
    <row r="22" spans="1:6" x14ac:dyDescent="0.25">
      <c r="A22" t="s">
        <v>11</v>
      </c>
      <c r="B22" s="28">
        <v>4800000</v>
      </c>
    </row>
    <row r="23" spans="1:6" x14ac:dyDescent="0.25">
      <c r="A23" t="s">
        <v>288</v>
      </c>
      <c r="B23" s="31">
        <f>IFERROR(B22/B7,"")</f>
        <v>266666.66666666669</v>
      </c>
    </row>
    <row r="24" spans="1:6" x14ac:dyDescent="0.25">
      <c r="A24" t="s">
        <v>289</v>
      </c>
      <c r="B24" s="38">
        <f>IFERROR(B22/B8,"")</f>
        <v>347.22222222222223</v>
      </c>
    </row>
    <row r="25" spans="1:6" x14ac:dyDescent="0.25">
      <c r="A25" t="s">
        <v>290</v>
      </c>
      <c r="B25" s="39">
        <v>5.5599999999999997E-2</v>
      </c>
    </row>
    <row r="26" spans="1:6" x14ac:dyDescent="0.25">
      <c r="A26" t="s">
        <v>291</v>
      </c>
      <c r="B26" s="40">
        <v>13.6</v>
      </c>
    </row>
    <row r="28" spans="1:6" x14ac:dyDescent="0.25">
      <c r="A28" s="34" t="s">
        <v>292</v>
      </c>
      <c r="B28" s="35"/>
      <c r="C28" s="35"/>
      <c r="D28" s="35"/>
      <c r="E28" s="35"/>
      <c r="F28" s="35"/>
    </row>
    <row r="29" spans="1:6" x14ac:dyDescent="0.25">
      <c r="A29" s="41" t="s">
        <v>293</v>
      </c>
      <c r="B29" s="41" t="s">
        <v>294</v>
      </c>
      <c r="C29" s="41" t="s">
        <v>295</v>
      </c>
      <c r="D29" s="41" t="s">
        <v>296</v>
      </c>
      <c r="E29" s="41" t="s">
        <v>297</v>
      </c>
      <c r="F29" s="41" t="s">
        <v>298</v>
      </c>
    </row>
    <row r="30" spans="1:6" x14ac:dyDescent="0.25">
      <c r="A30" t="s">
        <v>513</v>
      </c>
      <c r="B30" s="36">
        <v>16</v>
      </c>
      <c r="C30" s="56">
        <v>1590</v>
      </c>
      <c r="D30" s="51">
        <f>B30*C30</f>
        <v>25440</v>
      </c>
      <c r="E30" s="51">
        <f>D30*12</f>
        <v>305280</v>
      </c>
      <c r="F30" s="52" t="s">
        <v>553</v>
      </c>
    </row>
    <row r="31" spans="1:6" x14ac:dyDescent="0.25">
      <c r="A31" t="s">
        <v>514</v>
      </c>
      <c r="B31" s="36">
        <v>2</v>
      </c>
      <c r="C31" s="56">
        <v>3416</v>
      </c>
      <c r="D31" s="51">
        <f>B31*C31</f>
        <v>6832</v>
      </c>
      <c r="E31" s="51">
        <f>D31*12</f>
        <v>81984</v>
      </c>
      <c r="F31" s="52" t="s">
        <v>553</v>
      </c>
    </row>
    <row r="32" spans="1:6" x14ac:dyDescent="0.25">
      <c r="A32" s="42" t="s">
        <v>303</v>
      </c>
      <c r="B32" s="43">
        <f>SUM(B30:B31)</f>
        <v>18</v>
      </c>
      <c r="C32" s="44">
        <f>IFERROR(D32/B32,"")</f>
        <v>1792.8888888888889</v>
      </c>
      <c r="D32" s="44">
        <f>SUM(D30:D31)</f>
        <v>32272</v>
      </c>
      <c r="E32" s="44">
        <f>SUM(E30:E31)</f>
        <v>387264</v>
      </c>
    </row>
    <row r="34" spans="1:6" x14ac:dyDescent="0.25">
      <c r="A34" s="34" t="s">
        <v>304</v>
      </c>
      <c r="B34" s="35"/>
      <c r="C34" s="35"/>
      <c r="D34" s="35"/>
      <c r="E34" s="35"/>
      <c r="F34" s="35"/>
    </row>
    <row r="35" spans="1:6" x14ac:dyDescent="0.25">
      <c r="A35" s="45"/>
      <c r="B35" s="45" t="s">
        <v>305</v>
      </c>
      <c r="C35" s="45" t="s">
        <v>306</v>
      </c>
      <c r="D35" s="45"/>
      <c r="E35" s="45"/>
      <c r="F35" s="45" t="s">
        <v>307</v>
      </c>
    </row>
    <row r="36" spans="1:6" x14ac:dyDescent="0.25">
      <c r="A36" t="s">
        <v>308</v>
      </c>
      <c r="B36" s="51">
        <v>387302</v>
      </c>
      <c r="C36" s="31">
        <f>E32</f>
        <v>387264</v>
      </c>
      <c r="F36" s="26" t="s">
        <v>554</v>
      </c>
    </row>
    <row r="37" spans="1:6" x14ac:dyDescent="0.25">
      <c r="A37" t="s">
        <v>310</v>
      </c>
      <c r="B37" s="31">
        <v>5402</v>
      </c>
      <c r="C37" s="28">
        <v>5402</v>
      </c>
    </row>
    <row r="38" spans="1:6" x14ac:dyDescent="0.25">
      <c r="A38" s="42" t="s">
        <v>311</v>
      </c>
      <c r="B38" s="31">
        <f>B36+B37</f>
        <v>392704</v>
      </c>
      <c r="C38" s="31">
        <f>C36+C37</f>
        <v>392666</v>
      </c>
    </row>
    <row r="39" spans="1:6" x14ac:dyDescent="0.25">
      <c r="A39" t="s">
        <v>312</v>
      </c>
      <c r="B39" s="31">
        <f>-B36*0.03</f>
        <v>-11619.06</v>
      </c>
      <c r="C39" s="31">
        <f>-C36*Assumptions!$B$3</f>
        <v>-11617.92</v>
      </c>
      <c r="F39" s="26" t="s">
        <v>499</v>
      </c>
    </row>
    <row r="40" spans="1:6" x14ac:dyDescent="0.25">
      <c r="A40" s="42" t="s">
        <v>314</v>
      </c>
      <c r="B40" s="44">
        <f>B38+B39</f>
        <v>381084.94</v>
      </c>
      <c r="C40" s="44">
        <f>C38+C39</f>
        <v>381048.08</v>
      </c>
    </row>
    <row r="42" spans="1:6" x14ac:dyDescent="0.25">
      <c r="A42" s="34" t="s">
        <v>315</v>
      </c>
      <c r="B42" s="35"/>
      <c r="C42" s="35"/>
      <c r="D42" s="35"/>
      <c r="E42" s="35"/>
      <c r="F42" s="35"/>
    </row>
    <row r="43" spans="1:6" x14ac:dyDescent="0.25">
      <c r="A43" s="45" t="s">
        <v>316</v>
      </c>
      <c r="B43" s="45" t="s">
        <v>305</v>
      </c>
      <c r="C43" s="45" t="s">
        <v>317</v>
      </c>
      <c r="D43" s="45" t="s">
        <v>306</v>
      </c>
      <c r="E43" s="45" t="s">
        <v>318</v>
      </c>
      <c r="F43" s="45" t="s">
        <v>307</v>
      </c>
    </row>
    <row r="44" spans="1:6" x14ac:dyDescent="0.25">
      <c r="A44" t="s">
        <v>319</v>
      </c>
      <c r="B44" s="51">
        <v>53760</v>
      </c>
      <c r="C44" s="31">
        <f>B22*Assumptions!$B$18</f>
        <v>57600</v>
      </c>
      <c r="D44" s="46">
        <f>C44</f>
        <v>57600</v>
      </c>
      <c r="E44" s="31">
        <f t="shared" ref="E44:E52" si="0">IF(ISNUMBER(B44),D44-B44,"")</f>
        <v>3840</v>
      </c>
      <c r="F44" s="26" t="s">
        <v>394</v>
      </c>
    </row>
    <row r="45" spans="1:6" x14ac:dyDescent="0.25">
      <c r="A45" t="s">
        <v>321</v>
      </c>
      <c r="B45" s="51">
        <v>15466</v>
      </c>
      <c r="C45" s="31">
        <f>B7*Assumptions!$B$5+B8*Assumptions!$B$6</f>
        <v>17424</v>
      </c>
      <c r="D45" s="46">
        <f t="shared" ref="D45:D51" si="1">IF(ISNUMBER(B45),MAX(B45,C45),C45)</f>
        <v>17424</v>
      </c>
      <c r="E45" s="31">
        <f t="shared" si="0"/>
        <v>1958</v>
      </c>
      <c r="F45" s="26" t="s">
        <v>322</v>
      </c>
    </row>
    <row r="46" spans="1:6" x14ac:dyDescent="0.25">
      <c r="A46" t="s">
        <v>323</v>
      </c>
      <c r="B46" s="51"/>
      <c r="C46" s="31">
        <f>C40*Assumptions!$B$4</f>
        <v>19052.404000000002</v>
      </c>
      <c r="D46" s="46">
        <f t="shared" si="1"/>
        <v>19052.404000000002</v>
      </c>
      <c r="E46" s="31" t="str">
        <f t="shared" si="0"/>
        <v/>
      </c>
      <c r="F46" s="26" t="s">
        <v>324</v>
      </c>
    </row>
    <row r="47" spans="1:6" x14ac:dyDescent="0.25">
      <c r="A47" t="s">
        <v>325</v>
      </c>
      <c r="B47" s="51"/>
      <c r="C47" s="31">
        <f>B7*Assumptions!$B$7</f>
        <v>21600</v>
      </c>
      <c r="D47" s="46">
        <f t="shared" si="1"/>
        <v>21600</v>
      </c>
      <c r="E47" s="31" t="str">
        <f t="shared" si="0"/>
        <v/>
      </c>
      <c r="F47" s="26" t="s">
        <v>326</v>
      </c>
    </row>
    <row r="48" spans="1:6" x14ac:dyDescent="0.25">
      <c r="A48" t="s">
        <v>327</v>
      </c>
      <c r="B48" s="51">
        <v>11361</v>
      </c>
      <c r="C48" s="31">
        <f>B7*Assumptions!$B$11</f>
        <v>28800</v>
      </c>
      <c r="D48" s="46">
        <f t="shared" si="1"/>
        <v>28800</v>
      </c>
      <c r="E48" s="31">
        <f t="shared" si="0"/>
        <v>17439</v>
      </c>
      <c r="F48" s="26" t="s">
        <v>500</v>
      </c>
    </row>
    <row r="49" spans="1:6" x14ac:dyDescent="0.25">
      <c r="A49" t="s">
        <v>329</v>
      </c>
      <c r="B49" s="51"/>
      <c r="C49" s="31">
        <f>B7*Assumptions!$B$12</f>
        <v>7200</v>
      </c>
      <c r="D49" s="46">
        <f t="shared" si="1"/>
        <v>7200</v>
      </c>
      <c r="E49" s="31" t="str">
        <f t="shared" si="0"/>
        <v/>
      </c>
      <c r="F49" s="26" t="s">
        <v>330</v>
      </c>
    </row>
    <row r="50" spans="1:6" x14ac:dyDescent="0.25">
      <c r="A50" t="s">
        <v>388</v>
      </c>
      <c r="B50" s="51">
        <v>1554</v>
      </c>
      <c r="C50" s="31">
        <f>B7*Assumptions!$B$13</f>
        <v>4500</v>
      </c>
      <c r="D50" s="46">
        <f t="shared" si="1"/>
        <v>4500</v>
      </c>
      <c r="E50" s="31">
        <f t="shared" si="0"/>
        <v>2946</v>
      </c>
      <c r="F50" s="26" t="s">
        <v>515</v>
      </c>
    </row>
    <row r="51" spans="1:6" x14ac:dyDescent="0.25">
      <c r="A51" t="s">
        <v>333</v>
      </c>
      <c r="B51" s="51">
        <v>3600</v>
      </c>
      <c r="C51" s="31">
        <f>B7*Assumptions!$B$14</f>
        <v>5400</v>
      </c>
      <c r="D51" s="46">
        <f t="shared" si="1"/>
        <v>5400</v>
      </c>
      <c r="E51" s="31">
        <f t="shared" si="0"/>
        <v>1800</v>
      </c>
      <c r="F51" s="26" t="s">
        <v>330</v>
      </c>
    </row>
    <row r="52" spans="1:6" x14ac:dyDescent="0.25">
      <c r="A52" s="42" t="s">
        <v>334</v>
      </c>
      <c r="B52" s="44">
        <f>SUM(B44:B51)</f>
        <v>85741</v>
      </c>
      <c r="C52" s="44">
        <f>SUM(C44:C51)</f>
        <v>161576.40400000001</v>
      </c>
      <c r="D52" s="44">
        <f>SUM(D44:D51)</f>
        <v>161576.40400000001</v>
      </c>
      <c r="E52" s="44">
        <f t="shared" si="0"/>
        <v>75835.40400000001</v>
      </c>
      <c r="F52" s="26" t="s">
        <v>555</v>
      </c>
    </row>
    <row r="53" spans="1:6" x14ac:dyDescent="0.25">
      <c r="A53" t="s">
        <v>336</v>
      </c>
      <c r="B53" s="31">
        <f>IFERROR(B52/B7,"")</f>
        <v>4763.3888888888887</v>
      </c>
      <c r="C53" s="31">
        <f>IFERROR(C52/B7,"")</f>
        <v>8976.46688888889</v>
      </c>
      <c r="D53" s="31">
        <f>IFERROR(D52/B7,"")</f>
        <v>8976.46688888889</v>
      </c>
    </row>
    <row r="54" spans="1:6" x14ac:dyDescent="0.25">
      <c r="A54" t="s">
        <v>337</v>
      </c>
      <c r="B54" s="39">
        <f>IFERROR(B52/B40,"")</f>
        <v>0.22499183515360119</v>
      </c>
      <c r="C54" s="39">
        <f>IFERROR(C52/C40,"")</f>
        <v>0.42403153953695294</v>
      </c>
      <c r="D54" s="39">
        <f>IF(C36&gt;0,IFERROR(D52/C40,""),"")</f>
        <v>0.42403153953695294</v>
      </c>
    </row>
    <row r="55" spans="1:6" x14ac:dyDescent="0.25">
      <c r="A55" s="42" t="s">
        <v>18</v>
      </c>
      <c r="B55" s="47" t="str">
        <f>IF(ISNUMBER(B52),IF(D52&gt;B52*(1+Assumptions!$B$24),"OM EXPENSES LIGHT","OM expenses reasonable"),"OM expenses not published")</f>
        <v>OM EXPENSES LIGHT</v>
      </c>
    </row>
    <row r="57" spans="1:6" x14ac:dyDescent="0.25">
      <c r="A57" s="34" t="s">
        <v>338</v>
      </c>
      <c r="B57" s="35"/>
      <c r="C57" s="35"/>
      <c r="D57" s="35"/>
      <c r="E57" s="35"/>
      <c r="F57" s="35"/>
    </row>
    <row r="58" spans="1:6" x14ac:dyDescent="0.25">
      <c r="A58" s="45"/>
      <c r="B58" s="45" t="s">
        <v>305</v>
      </c>
      <c r="C58" s="45" t="s">
        <v>306</v>
      </c>
      <c r="D58" s="45"/>
      <c r="E58" s="45"/>
      <c r="F58" s="45" t="s">
        <v>307</v>
      </c>
    </row>
    <row r="59" spans="1:6" x14ac:dyDescent="0.25">
      <c r="A59" s="42" t="s">
        <v>339</v>
      </c>
      <c r="B59" s="44">
        <f>B40-B52</f>
        <v>295343.94</v>
      </c>
      <c r="C59" s="44">
        <f>IF(C36&gt;0,C40-D52,"")</f>
        <v>219471.67600000001</v>
      </c>
      <c r="F59" t="s">
        <v>516</v>
      </c>
    </row>
    <row r="60" spans="1:6" x14ac:dyDescent="0.25">
      <c r="A60" s="42" t="s">
        <v>340</v>
      </c>
      <c r="B60" s="39">
        <f>IFERROR(B59/B22,"")</f>
        <v>6.1529987500000001E-2</v>
      </c>
      <c r="C60" s="39">
        <f>IF(C59="","",IFERROR(C59/B22,""))</f>
        <v>4.5723265833333332E-2</v>
      </c>
      <c r="F60" s="26" t="s">
        <v>341</v>
      </c>
    </row>
    <row r="61" spans="1:6" x14ac:dyDescent="0.25">
      <c r="A61" t="s">
        <v>342</v>
      </c>
      <c r="B61" s="40">
        <f>IFERROR(B22/B36,"")</f>
        <v>12.393429416837506</v>
      </c>
      <c r="C61" s="40">
        <f>IF(C36&gt;0,IFERROR(B22/C36,""),"")</f>
        <v>12.394645513138324</v>
      </c>
    </row>
    <row r="62" spans="1:6" x14ac:dyDescent="0.25">
      <c r="A62" t="s">
        <v>343</v>
      </c>
      <c r="B62" s="31">
        <f>IFERROR(B59/B7,"")</f>
        <v>16407.996666666666</v>
      </c>
      <c r="C62" s="31">
        <f>IF(C59="","",IFERROR(C59/B7,""))</f>
        <v>12192.870888888889</v>
      </c>
    </row>
    <row r="64" spans="1:6" x14ac:dyDescent="0.25">
      <c r="A64" s="34" t="s">
        <v>344</v>
      </c>
      <c r="B64" s="35"/>
      <c r="C64" s="35"/>
      <c r="D64" s="35"/>
      <c r="E64" s="35"/>
      <c r="F64" s="35"/>
    </row>
    <row r="65" spans="1:2" x14ac:dyDescent="0.25">
      <c r="A65" t="s">
        <v>345</v>
      </c>
      <c r="B65" s="31">
        <f>IFERROR(B22*Assumptions!$B$20,"")</f>
        <v>2880000</v>
      </c>
    </row>
    <row r="66" spans="1:2" x14ac:dyDescent="0.25">
      <c r="A66" t="s">
        <v>346</v>
      </c>
      <c r="B66" s="31">
        <f>IF(C59="","",IFERROR(PV(Assumptions!$B$22/12,Assumptions!$B$23*12,-C59/Assumptions!$B$21/12),""))</f>
        <v>2376325.5365505735</v>
      </c>
    </row>
    <row r="67" spans="1:2" x14ac:dyDescent="0.25">
      <c r="A67" s="42" t="s">
        <v>347</v>
      </c>
      <c r="B67" s="31">
        <f>IFERROR(MIN(B65,B66),"")</f>
        <v>2376325.5365505735</v>
      </c>
    </row>
    <row r="68" spans="1:2" x14ac:dyDescent="0.25">
      <c r="A68" t="s">
        <v>348</v>
      </c>
      <c r="B68" s="31">
        <f>IFERROR(B22-B67,"")</f>
        <v>2423674.4634494265</v>
      </c>
    </row>
    <row r="69" spans="1:2" x14ac:dyDescent="0.25">
      <c r="A69" t="s">
        <v>349</v>
      </c>
      <c r="B69" s="31">
        <f>IFERROR(-PMT(Assumptions!$B$22/12,Assumptions!$B$23*12,B67)*12,"")</f>
        <v>175577.34079999942</v>
      </c>
    </row>
    <row r="70" spans="1:2" x14ac:dyDescent="0.25">
      <c r="A70" t="s">
        <v>350</v>
      </c>
      <c r="B70" s="40">
        <f>IFERROR(C59/B69,"")</f>
        <v>1.2500000000000042</v>
      </c>
    </row>
    <row r="71" spans="1:2" x14ac:dyDescent="0.25">
      <c r="A71" t="s">
        <v>351</v>
      </c>
      <c r="B71" s="31">
        <f>IFERROR(C59-B69,"")</f>
        <v>43894.335200000583</v>
      </c>
    </row>
    <row r="72" spans="1:2" x14ac:dyDescent="0.25">
      <c r="A72" t="s">
        <v>352</v>
      </c>
      <c r="B72" s="39">
        <f>IFERROR(B71/B68,"")</f>
        <v>1.8110656303870615E-2</v>
      </c>
    </row>
    <row r="74" spans="1:2" x14ac:dyDescent="0.25">
      <c r="A74" s="26" t="s">
        <v>353</v>
      </c>
    </row>
  </sheetData>
  <hyperlinks>
    <hyperlink ref="A3" r:id="rId1" xr:uid="{00000000-0004-0000-0D00-000000000000}"/>
  </hyperlinks>
  <pageMargins left="0.75" right="0.75" top="1" bottom="1" header="0.5" footer="0.5"/>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F74"/>
  <sheetViews>
    <sheetView showGridLines="0" workbookViewId="0">
      <pane ySplit="5" topLeftCell="A6" activePane="bottomLeft" state="frozen"/>
      <selection pane="bottomLeft"/>
    </sheetView>
  </sheetViews>
  <sheetFormatPr defaultRowHeight="15" x14ac:dyDescent="0.25"/>
  <cols>
    <col min="1" max="1" width="38" customWidth="1"/>
    <col min="2" max="5" width="16" customWidth="1"/>
    <col min="6" max="6" width="48" customWidth="1"/>
    <col min="7" max="7" width="12" customWidth="1"/>
  </cols>
  <sheetData>
    <row r="1" spans="1:3" ht="19.5" x14ac:dyDescent="0.3">
      <c r="A1" s="1" t="s">
        <v>100</v>
      </c>
    </row>
    <row r="2" spans="1:3" x14ac:dyDescent="0.25">
      <c r="A2" s="32" t="s">
        <v>362</v>
      </c>
    </row>
    <row r="3" spans="1:3" x14ac:dyDescent="0.25">
      <c r="A3" s="33" t="s">
        <v>271</v>
      </c>
      <c r="B3" s="26" t="s">
        <v>548</v>
      </c>
    </row>
    <row r="4" spans="1:3" x14ac:dyDescent="0.25">
      <c r="A4" s="53" t="s">
        <v>566</v>
      </c>
    </row>
    <row r="6" spans="1:3" x14ac:dyDescent="0.25">
      <c r="A6" s="34" t="s">
        <v>273</v>
      </c>
      <c r="B6" s="35"/>
      <c r="C6" s="35"/>
    </row>
    <row r="7" spans="1:3" x14ac:dyDescent="0.25">
      <c r="A7" t="s">
        <v>7</v>
      </c>
      <c r="B7" s="36">
        <v>10</v>
      </c>
    </row>
    <row r="8" spans="1:3" x14ac:dyDescent="0.25">
      <c r="A8" t="s">
        <v>274</v>
      </c>
      <c r="B8" s="36">
        <v>14298</v>
      </c>
    </row>
    <row r="9" spans="1:3" x14ac:dyDescent="0.25">
      <c r="A9" t="s">
        <v>10</v>
      </c>
      <c r="B9" s="36">
        <v>6970</v>
      </c>
    </row>
    <row r="10" spans="1:3" x14ac:dyDescent="0.25">
      <c r="A10" t="s">
        <v>275</v>
      </c>
      <c r="B10" s="37">
        <v>0.16</v>
      </c>
    </row>
    <row r="11" spans="1:3" x14ac:dyDescent="0.25">
      <c r="A11" t="s">
        <v>8</v>
      </c>
      <c r="B11">
        <v>1988</v>
      </c>
    </row>
    <row r="12" spans="1:3" x14ac:dyDescent="0.25">
      <c r="A12" t="s">
        <v>276</v>
      </c>
      <c r="B12" t="s">
        <v>367</v>
      </c>
    </row>
    <row r="13" spans="1:3" x14ac:dyDescent="0.25">
      <c r="A13" t="s">
        <v>278</v>
      </c>
      <c r="B13" t="s">
        <v>368</v>
      </c>
    </row>
    <row r="14" spans="1:3" x14ac:dyDescent="0.25">
      <c r="A14" t="s">
        <v>280</v>
      </c>
      <c r="B14" t="s">
        <v>101</v>
      </c>
    </row>
    <row r="15" spans="1:3" x14ac:dyDescent="0.25">
      <c r="A15" t="s">
        <v>281</v>
      </c>
      <c r="B15" t="s">
        <v>395</v>
      </c>
    </row>
    <row r="16" spans="1:3" x14ac:dyDescent="0.25">
      <c r="A16" t="s">
        <v>283</v>
      </c>
      <c r="B16" s="31">
        <v>5945429</v>
      </c>
    </row>
    <row r="17" spans="1:6" x14ac:dyDescent="0.25">
      <c r="A17" t="s">
        <v>284</v>
      </c>
      <c r="B17" t="s">
        <v>43</v>
      </c>
    </row>
    <row r="18" spans="1:6" x14ac:dyDescent="0.25">
      <c r="A18" t="s">
        <v>285</v>
      </c>
      <c r="B18" t="s">
        <v>59</v>
      </c>
    </row>
    <row r="19" spans="1:6" x14ac:dyDescent="0.25">
      <c r="A19" t="s">
        <v>286</v>
      </c>
      <c r="B19" t="s">
        <v>79</v>
      </c>
    </row>
    <row r="21" spans="1:6" x14ac:dyDescent="0.25">
      <c r="A21" s="34" t="s">
        <v>287</v>
      </c>
      <c r="B21" s="35"/>
      <c r="C21" s="35"/>
    </row>
    <row r="22" spans="1:6" x14ac:dyDescent="0.25">
      <c r="A22" t="s">
        <v>11</v>
      </c>
      <c r="B22" s="28">
        <v>5250000</v>
      </c>
    </row>
    <row r="23" spans="1:6" x14ac:dyDescent="0.25">
      <c r="A23" t="s">
        <v>288</v>
      </c>
      <c r="B23" s="31">
        <f>IFERROR(B22/B7,"")</f>
        <v>525000</v>
      </c>
    </row>
    <row r="24" spans="1:6" x14ac:dyDescent="0.25">
      <c r="A24" t="s">
        <v>289</v>
      </c>
      <c r="B24" s="38">
        <f>IFERROR(B22/B8,"")</f>
        <v>367.1842215694503</v>
      </c>
    </row>
    <row r="25" spans="1:6" x14ac:dyDescent="0.25">
      <c r="A25" t="s">
        <v>290</v>
      </c>
      <c r="B25" s="39">
        <v>5.5399999999999998E-2</v>
      </c>
    </row>
    <row r="26" spans="1:6" x14ac:dyDescent="0.25">
      <c r="A26" t="s">
        <v>291</v>
      </c>
      <c r="B26" s="40">
        <v>11.87</v>
      </c>
    </row>
    <row r="28" spans="1:6" x14ac:dyDescent="0.25">
      <c r="A28" s="34" t="s">
        <v>292</v>
      </c>
      <c r="B28" s="35"/>
      <c r="C28" s="35"/>
      <c r="D28" s="35"/>
      <c r="E28" s="35"/>
      <c r="F28" s="35"/>
    </row>
    <row r="29" spans="1:6" x14ac:dyDescent="0.25">
      <c r="A29" s="41" t="s">
        <v>293</v>
      </c>
      <c r="B29" s="41" t="s">
        <v>294</v>
      </c>
      <c r="C29" s="41" t="s">
        <v>295</v>
      </c>
      <c r="D29" s="41" t="s">
        <v>296</v>
      </c>
      <c r="E29" s="41" t="s">
        <v>297</v>
      </c>
      <c r="F29" s="41" t="s">
        <v>298</v>
      </c>
    </row>
    <row r="30" spans="1:6" x14ac:dyDescent="0.25">
      <c r="A30" t="s">
        <v>517</v>
      </c>
      <c r="B30" s="36">
        <v>7</v>
      </c>
      <c r="C30" s="56">
        <v>3435</v>
      </c>
      <c r="D30" s="51">
        <f>B30*C30</f>
        <v>24045</v>
      </c>
      <c r="E30" s="51">
        <f>D30*12</f>
        <v>288540</v>
      </c>
      <c r="F30" s="52" t="s">
        <v>545</v>
      </c>
    </row>
    <row r="31" spans="1:6" x14ac:dyDescent="0.25">
      <c r="A31" t="s">
        <v>518</v>
      </c>
      <c r="B31" s="36">
        <v>3</v>
      </c>
      <c r="C31" s="56">
        <v>4267</v>
      </c>
      <c r="D31" s="51">
        <f>B31*C31</f>
        <v>12801</v>
      </c>
      <c r="E31" s="51">
        <f>D31*12</f>
        <v>153612</v>
      </c>
      <c r="F31" s="52" t="s">
        <v>545</v>
      </c>
    </row>
    <row r="32" spans="1:6" x14ac:dyDescent="0.25">
      <c r="A32" s="42" t="s">
        <v>303</v>
      </c>
      <c r="B32" s="43">
        <f>SUM(B30:B31)</f>
        <v>10</v>
      </c>
      <c r="C32" s="44">
        <f>IFERROR(D32/B32,"")</f>
        <v>3684.6</v>
      </c>
      <c r="D32" s="44">
        <f>SUM(D30:D31)</f>
        <v>36846</v>
      </c>
      <c r="E32" s="44">
        <f>SUM(E30:E31)</f>
        <v>442152</v>
      </c>
    </row>
    <row r="34" spans="1:6" x14ac:dyDescent="0.25">
      <c r="A34" s="34" t="s">
        <v>304</v>
      </c>
      <c r="B34" s="35"/>
      <c r="C34" s="35"/>
      <c r="D34" s="35"/>
      <c r="E34" s="35"/>
      <c r="F34" s="35"/>
    </row>
    <row r="35" spans="1:6" x14ac:dyDescent="0.25">
      <c r="A35" s="45"/>
      <c r="B35" s="45" t="s">
        <v>305</v>
      </c>
      <c r="C35" s="45" t="s">
        <v>306</v>
      </c>
      <c r="D35" s="45"/>
      <c r="E35" s="45"/>
      <c r="F35" s="45" t="s">
        <v>307</v>
      </c>
    </row>
    <row r="36" spans="1:6" x14ac:dyDescent="0.25">
      <c r="A36" t="s">
        <v>308</v>
      </c>
      <c r="B36" s="51">
        <v>442140</v>
      </c>
      <c r="C36" s="31">
        <f>E32</f>
        <v>442152</v>
      </c>
      <c r="F36" s="26" t="s">
        <v>546</v>
      </c>
    </row>
    <row r="37" spans="1:6" x14ac:dyDescent="0.25">
      <c r="A37" t="s">
        <v>310</v>
      </c>
      <c r="B37" s="31">
        <v>0</v>
      </c>
      <c r="C37" s="28">
        <v>0</v>
      </c>
    </row>
    <row r="38" spans="1:6" x14ac:dyDescent="0.25">
      <c r="A38" s="42" t="s">
        <v>311</v>
      </c>
      <c r="B38" s="31">
        <f>B36+B37</f>
        <v>442140</v>
      </c>
      <c r="C38" s="31">
        <f>C36+C37</f>
        <v>442152</v>
      </c>
    </row>
    <row r="39" spans="1:6" x14ac:dyDescent="0.25">
      <c r="A39" t="s">
        <v>312</v>
      </c>
      <c r="B39" s="31">
        <f>-B36*0.03</f>
        <v>-13264.199999999999</v>
      </c>
      <c r="C39" s="31">
        <f>-C36*Assumptions!$B$3</f>
        <v>-13264.56</v>
      </c>
      <c r="F39" s="26" t="s">
        <v>499</v>
      </c>
    </row>
    <row r="40" spans="1:6" x14ac:dyDescent="0.25">
      <c r="A40" s="42" t="s">
        <v>314</v>
      </c>
      <c r="B40" s="44">
        <f>B38+B39</f>
        <v>428875.8</v>
      </c>
      <c r="C40" s="44">
        <f>C38+C39</f>
        <v>428887.44</v>
      </c>
    </row>
    <row r="42" spans="1:6" x14ac:dyDescent="0.25">
      <c r="A42" s="34" t="s">
        <v>315</v>
      </c>
      <c r="B42" s="35"/>
      <c r="C42" s="35"/>
      <c r="D42" s="35"/>
      <c r="E42" s="35"/>
      <c r="F42" s="35"/>
    </row>
    <row r="43" spans="1:6" x14ac:dyDescent="0.25">
      <c r="A43" s="45" t="s">
        <v>316</v>
      </c>
      <c r="B43" s="45" t="s">
        <v>305</v>
      </c>
      <c r="C43" s="45" t="s">
        <v>317</v>
      </c>
      <c r="D43" s="45" t="s">
        <v>306</v>
      </c>
      <c r="E43" s="45" t="s">
        <v>318</v>
      </c>
      <c r="F43" s="45" t="s">
        <v>307</v>
      </c>
    </row>
    <row r="44" spans="1:6" x14ac:dyDescent="0.25">
      <c r="A44" t="s">
        <v>319</v>
      </c>
      <c r="B44" s="51">
        <v>62337</v>
      </c>
      <c r="C44" s="31">
        <f>B22*Assumptions!$B$15</f>
        <v>65625</v>
      </c>
      <c r="D44" s="46">
        <f>C44</f>
        <v>65625</v>
      </c>
      <c r="E44" s="31">
        <f t="shared" ref="E44:E52" si="0">IF(ISNUMBER(B44),D44-B44,"")</f>
        <v>3288</v>
      </c>
      <c r="F44" s="26" t="s">
        <v>358</v>
      </c>
    </row>
    <row r="45" spans="1:6" x14ac:dyDescent="0.25">
      <c r="A45" t="s">
        <v>321</v>
      </c>
      <c r="B45" s="51">
        <v>7315</v>
      </c>
      <c r="C45" s="31">
        <f>B7*Assumptions!$B$5+B8*Assumptions!$B$6</f>
        <v>16298</v>
      </c>
      <c r="D45" s="46">
        <f t="shared" ref="D45:D51" si="1">IF(ISNUMBER(B45),MAX(B45,C45),C45)</f>
        <v>16298</v>
      </c>
      <c r="E45" s="31">
        <f t="shared" si="0"/>
        <v>8983</v>
      </c>
      <c r="F45" s="26" t="s">
        <v>322</v>
      </c>
    </row>
    <row r="46" spans="1:6" x14ac:dyDescent="0.25">
      <c r="A46" t="s">
        <v>323</v>
      </c>
      <c r="B46" s="51">
        <v>17155</v>
      </c>
      <c r="C46" s="31">
        <f>C40*Assumptions!$B$4</f>
        <v>21444.372000000003</v>
      </c>
      <c r="D46" s="46">
        <f t="shared" si="1"/>
        <v>21444.372000000003</v>
      </c>
      <c r="E46" s="31">
        <f t="shared" si="0"/>
        <v>4289.372000000003</v>
      </c>
      <c r="F46" s="26" t="s">
        <v>324</v>
      </c>
    </row>
    <row r="47" spans="1:6" x14ac:dyDescent="0.25">
      <c r="A47" t="s">
        <v>325</v>
      </c>
      <c r="B47" s="51">
        <v>12000</v>
      </c>
      <c r="C47" s="31">
        <f>B7*Assumptions!$B$7</f>
        <v>12000</v>
      </c>
      <c r="D47" s="46">
        <f t="shared" si="1"/>
        <v>12000</v>
      </c>
      <c r="E47" s="31">
        <f t="shared" si="0"/>
        <v>0</v>
      </c>
      <c r="F47" s="26" t="s">
        <v>326</v>
      </c>
    </row>
    <row r="48" spans="1:6" x14ac:dyDescent="0.25">
      <c r="A48" t="s">
        <v>327</v>
      </c>
      <c r="B48" s="51">
        <v>22652</v>
      </c>
      <c r="C48" s="31">
        <f>B7*Assumptions!$B$9</f>
        <v>15000</v>
      </c>
      <c r="D48" s="46">
        <f t="shared" si="1"/>
        <v>22652</v>
      </c>
      <c r="E48" s="31">
        <f t="shared" si="0"/>
        <v>0</v>
      </c>
      <c r="F48" s="26" t="s">
        <v>500</v>
      </c>
    </row>
    <row r="49" spans="1:6" x14ac:dyDescent="0.25">
      <c r="A49" t="s">
        <v>329</v>
      </c>
      <c r="B49" s="51">
        <v>4156</v>
      </c>
      <c r="C49" s="31">
        <f>B7*Assumptions!$B$12</f>
        <v>4000</v>
      </c>
      <c r="D49" s="46">
        <f t="shared" si="1"/>
        <v>4156</v>
      </c>
      <c r="E49" s="31">
        <f t="shared" si="0"/>
        <v>0</v>
      </c>
      <c r="F49" s="26" t="s">
        <v>330</v>
      </c>
    </row>
    <row r="50" spans="1:6" x14ac:dyDescent="0.25">
      <c r="A50" t="s">
        <v>388</v>
      </c>
      <c r="B50" s="51">
        <v>10443</v>
      </c>
      <c r="C50" s="31">
        <f>B7*Assumptions!$B$13</f>
        <v>2500</v>
      </c>
      <c r="D50" s="46">
        <f t="shared" si="1"/>
        <v>10443</v>
      </c>
      <c r="E50" s="31">
        <f t="shared" si="0"/>
        <v>0</v>
      </c>
      <c r="F50" s="26" t="s">
        <v>519</v>
      </c>
    </row>
    <row r="51" spans="1:6" x14ac:dyDescent="0.25">
      <c r="A51" t="s">
        <v>333</v>
      </c>
      <c r="B51" s="51">
        <v>2000</v>
      </c>
      <c r="C51" s="31">
        <f>B7*Assumptions!$B$14</f>
        <v>3000</v>
      </c>
      <c r="D51" s="46">
        <f t="shared" si="1"/>
        <v>3000</v>
      </c>
      <c r="E51" s="31">
        <f t="shared" si="0"/>
        <v>1000</v>
      </c>
      <c r="F51" s="26" t="s">
        <v>330</v>
      </c>
    </row>
    <row r="52" spans="1:6" x14ac:dyDescent="0.25">
      <c r="A52" s="42" t="s">
        <v>334</v>
      </c>
      <c r="B52" s="44">
        <f>SUM(B44:B51)</f>
        <v>138058</v>
      </c>
      <c r="C52" s="44">
        <f>SUM(C44:C51)</f>
        <v>139867.372</v>
      </c>
      <c r="D52" s="44">
        <f>SUM(D44:D51)</f>
        <v>155618.372</v>
      </c>
      <c r="E52" s="44">
        <f t="shared" si="0"/>
        <v>17560.372000000003</v>
      </c>
      <c r="F52" s="26" t="s">
        <v>557</v>
      </c>
    </row>
    <row r="53" spans="1:6" x14ac:dyDescent="0.25">
      <c r="A53" t="s">
        <v>336</v>
      </c>
      <c r="B53" s="31">
        <f>IFERROR(B52/B7,"")</f>
        <v>13805.8</v>
      </c>
      <c r="C53" s="31">
        <f>IFERROR(C52/B7,"")</f>
        <v>13986.7372</v>
      </c>
      <c r="D53" s="31">
        <f>IFERROR(D52/B7,"")</f>
        <v>15561.8372</v>
      </c>
    </row>
    <row r="54" spans="1:6" x14ac:dyDescent="0.25">
      <c r="A54" t="s">
        <v>337</v>
      </c>
      <c r="B54" s="39">
        <f>IFERROR(B52/B40,"")</f>
        <v>0.32190671518420949</v>
      </c>
      <c r="C54" s="39">
        <f>IFERROR(C52/C40,"")</f>
        <v>0.32611673589695234</v>
      </c>
      <c r="D54" s="39">
        <f>IF(C36&gt;0,IFERROR(D52/C40,""),"")</f>
        <v>0.36284198949729096</v>
      </c>
    </row>
    <row r="55" spans="1:6" x14ac:dyDescent="0.25">
      <c r="A55" s="42" t="s">
        <v>18</v>
      </c>
      <c r="B55" s="47" t="str">
        <f>IF(ISNUMBER(B52),IF(D52&gt;B52*(1+Assumptions!$B$24),"OM EXPENSES LIGHT","OM expenses reasonable"),"OM expenses not published")</f>
        <v>OM EXPENSES LIGHT</v>
      </c>
    </row>
    <row r="57" spans="1:6" x14ac:dyDescent="0.25">
      <c r="A57" s="34" t="s">
        <v>338</v>
      </c>
      <c r="B57" s="35"/>
      <c r="C57" s="35"/>
      <c r="D57" s="35"/>
      <c r="E57" s="35"/>
      <c r="F57" s="35"/>
    </row>
    <row r="58" spans="1:6" x14ac:dyDescent="0.25">
      <c r="A58" s="45"/>
      <c r="B58" s="45" t="s">
        <v>305</v>
      </c>
      <c r="C58" s="45" t="s">
        <v>306</v>
      </c>
      <c r="D58" s="45"/>
      <c r="E58" s="45"/>
      <c r="F58" s="45" t="s">
        <v>307</v>
      </c>
    </row>
    <row r="59" spans="1:6" x14ac:dyDescent="0.25">
      <c r="A59" s="42" t="s">
        <v>339</v>
      </c>
      <c r="B59" s="44">
        <f>B40-B52</f>
        <v>290817.8</v>
      </c>
      <c r="C59" s="44">
        <f>IF(C36&gt;0,C40-D52,"")</f>
        <v>273269.06799999997</v>
      </c>
      <c r="F59" t="s">
        <v>520</v>
      </c>
    </row>
    <row r="60" spans="1:6" x14ac:dyDescent="0.25">
      <c r="A60" s="42" t="s">
        <v>340</v>
      </c>
      <c r="B60" s="39">
        <f>IFERROR(B59/B22,"")</f>
        <v>5.5393866666666666E-2</v>
      </c>
      <c r="C60" s="39">
        <f>IF(C59="","",IFERROR(C59/B22,""))</f>
        <v>5.205125104761904E-2</v>
      </c>
      <c r="F60" s="26" t="s">
        <v>341</v>
      </c>
    </row>
    <row r="61" spans="1:6" x14ac:dyDescent="0.25">
      <c r="A61" t="s">
        <v>342</v>
      </c>
      <c r="B61" s="40">
        <f>IFERROR(B22/B36,"")</f>
        <v>11.874067037589903</v>
      </c>
      <c r="C61" s="40">
        <f>IF(C36&gt;0,IFERROR(B22/C36,""),"")</f>
        <v>11.873744775552298</v>
      </c>
    </row>
    <row r="62" spans="1:6" x14ac:dyDescent="0.25">
      <c r="A62" t="s">
        <v>343</v>
      </c>
      <c r="B62" s="31">
        <f>IFERROR(B59/B7,"")</f>
        <v>29081.78</v>
      </c>
      <c r="C62" s="31">
        <f>IF(C59="","",IFERROR(C59/B7,""))</f>
        <v>27326.906799999997</v>
      </c>
    </row>
    <row r="64" spans="1:6" x14ac:dyDescent="0.25">
      <c r="A64" s="34" t="s">
        <v>344</v>
      </c>
      <c r="B64" s="35"/>
      <c r="C64" s="35"/>
      <c r="D64" s="35"/>
      <c r="E64" s="35"/>
      <c r="F64" s="35"/>
    </row>
    <row r="65" spans="1:2" x14ac:dyDescent="0.25">
      <c r="A65" t="s">
        <v>345</v>
      </c>
      <c r="B65" s="31">
        <f>IFERROR(B22*Assumptions!$B$20,"")</f>
        <v>3150000</v>
      </c>
    </row>
    <row r="66" spans="1:2" x14ac:dyDescent="0.25">
      <c r="A66" t="s">
        <v>346</v>
      </c>
      <c r="B66" s="31">
        <f>IF(C59="","",IFERROR(PV(Assumptions!$B$22/12,Assumptions!$B$23*12,-C59/Assumptions!$B$21/12),""))</f>
        <v>2958815.8092790758</v>
      </c>
    </row>
    <row r="67" spans="1:2" x14ac:dyDescent="0.25">
      <c r="A67" s="42" t="s">
        <v>347</v>
      </c>
      <c r="B67" s="31">
        <f>IFERROR(MIN(B65,B66),"")</f>
        <v>2958815.8092790758</v>
      </c>
    </row>
    <row r="68" spans="1:2" x14ac:dyDescent="0.25">
      <c r="A68" t="s">
        <v>348</v>
      </c>
      <c r="B68" s="31">
        <f>IFERROR(B22-B67,"")</f>
        <v>2291184.1907209242</v>
      </c>
    </row>
    <row r="69" spans="1:2" x14ac:dyDescent="0.25">
      <c r="A69" t="s">
        <v>349</v>
      </c>
      <c r="B69" s="31">
        <f>IFERROR(-PMT(Assumptions!$B$22/12,Assumptions!$B$23*12,B67)*12,"")</f>
        <v>218615.25439999931</v>
      </c>
    </row>
    <row r="70" spans="1:2" x14ac:dyDescent="0.25">
      <c r="A70" t="s">
        <v>350</v>
      </c>
      <c r="B70" s="40">
        <f>IFERROR(C59/B69,"")</f>
        <v>1.2500000000000038</v>
      </c>
    </row>
    <row r="71" spans="1:2" x14ac:dyDescent="0.25">
      <c r="A71" t="s">
        <v>351</v>
      </c>
      <c r="B71" s="31">
        <f>IFERROR(C59-B69,"")</f>
        <v>54653.813600000663</v>
      </c>
    </row>
    <row r="72" spans="1:2" x14ac:dyDescent="0.25">
      <c r="A72" t="s">
        <v>352</v>
      </c>
      <c r="B72" s="39">
        <f>IFERROR(B71/B68,"")</f>
        <v>2.3853958935882744E-2</v>
      </c>
    </row>
    <row r="74" spans="1:2" x14ac:dyDescent="0.25">
      <c r="A74" s="26" t="s">
        <v>353</v>
      </c>
    </row>
  </sheetData>
  <hyperlinks>
    <hyperlink ref="A3" r:id="rId1" xr:uid="{00000000-0004-0000-0E00-000000000000}"/>
  </hyperlinks>
  <pageMargins left="0.75" right="0.75" top="1" bottom="1" header="0.5" footer="0.5"/>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F76"/>
  <sheetViews>
    <sheetView showGridLines="0" tabSelected="1" workbookViewId="0">
      <pane ySplit="5" topLeftCell="A6" activePane="bottomLeft" state="frozen"/>
      <selection pane="bottomLeft"/>
    </sheetView>
  </sheetViews>
  <sheetFormatPr defaultRowHeight="15" x14ac:dyDescent="0.25"/>
  <cols>
    <col min="1" max="1" width="38" customWidth="1"/>
    <col min="2" max="5" width="16" customWidth="1"/>
    <col min="6" max="6" width="48" customWidth="1"/>
    <col min="7" max="7" width="12" customWidth="1"/>
  </cols>
  <sheetData>
    <row r="1" spans="1:3" ht="19.5" x14ac:dyDescent="0.3">
      <c r="A1" s="1" t="s">
        <v>103</v>
      </c>
    </row>
    <row r="2" spans="1:3" x14ac:dyDescent="0.25">
      <c r="A2" s="32" t="s">
        <v>396</v>
      </c>
    </row>
    <row r="3" spans="1:3" x14ac:dyDescent="0.25">
      <c r="A3" s="33" t="s">
        <v>271</v>
      </c>
      <c r="B3" s="26" t="s">
        <v>552</v>
      </c>
    </row>
    <row r="4" spans="1:3" x14ac:dyDescent="0.25">
      <c r="A4" s="53" t="s">
        <v>567</v>
      </c>
    </row>
    <row r="6" spans="1:3" x14ac:dyDescent="0.25">
      <c r="A6" s="34" t="s">
        <v>273</v>
      </c>
      <c r="B6" s="35"/>
      <c r="C6" s="35"/>
    </row>
    <row r="7" spans="1:3" x14ac:dyDescent="0.25">
      <c r="A7" t="s">
        <v>7</v>
      </c>
      <c r="B7" s="36">
        <v>15</v>
      </c>
    </row>
    <row r="8" spans="1:3" x14ac:dyDescent="0.25">
      <c r="A8" t="s">
        <v>274</v>
      </c>
      <c r="B8" s="36">
        <v>16234</v>
      </c>
    </row>
    <row r="9" spans="1:3" x14ac:dyDescent="0.25">
      <c r="A9" t="s">
        <v>10</v>
      </c>
      <c r="B9" s="36">
        <v>12197</v>
      </c>
    </row>
    <row r="10" spans="1:3" x14ac:dyDescent="0.25">
      <c r="A10" t="s">
        <v>275</v>
      </c>
      <c r="B10" s="37">
        <v>0.28000000000000003</v>
      </c>
    </row>
    <row r="11" spans="1:3" x14ac:dyDescent="0.25">
      <c r="A11" t="s">
        <v>8</v>
      </c>
      <c r="B11">
        <v>1962</v>
      </c>
    </row>
    <row r="12" spans="1:3" x14ac:dyDescent="0.25">
      <c r="A12" t="s">
        <v>276</v>
      </c>
      <c r="B12" t="s">
        <v>367</v>
      </c>
    </row>
    <row r="13" spans="1:3" x14ac:dyDescent="0.25">
      <c r="A13" t="s">
        <v>278</v>
      </c>
      <c r="B13" t="s">
        <v>363</v>
      </c>
    </row>
    <row r="14" spans="1:3" x14ac:dyDescent="0.25">
      <c r="A14" t="s">
        <v>280</v>
      </c>
    </row>
    <row r="15" spans="1:3" x14ac:dyDescent="0.25">
      <c r="A15" t="s">
        <v>281</v>
      </c>
      <c r="B15" t="s">
        <v>397</v>
      </c>
    </row>
    <row r="16" spans="1:3" x14ac:dyDescent="0.25">
      <c r="A16" t="s">
        <v>283</v>
      </c>
      <c r="B16" s="31">
        <v>2625924</v>
      </c>
    </row>
    <row r="17" spans="1:6" x14ac:dyDescent="0.25">
      <c r="A17" t="s">
        <v>284</v>
      </c>
      <c r="B17" t="s">
        <v>106</v>
      </c>
    </row>
    <row r="18" spans="1:6" x14ac:dyDescent="0.25">
      <c r="A18" t="s">
        <v>285</v>
      </c>
      <c r="B18" t="s">
        <v>107</v>
      </c>
    </row>
    <row r="19" spans="1:6" x14ac:dyDescent="0.25">
      <c r="A19" t="s">
        <v>286</v>
      </c>
      <c r="B19" t="s">
        <v>108</v>
      </c>
    </row>
    <row r="21" spans="1:6" x14ac:dyDescent="0.25">
      <c r="A21" s="34" t="s">
        <v>287</v>
      </c>
      <c r="B21" s="35"/>
      <c r="C21" s="35"/>
    </row>
    <row r="22" spans="1:6" x14ac:dyDescent="0.25">
      <c r="A22" t="s">
        <v>11</v>
      </c>
      <c r="B22" s="28">
        <v>4700000</v>
      </c>
    </row>
    <row r="23" spans="1:6" x14ac:dyDescent="0.25">
      <c r="A23" t="s">
        <v>288</v>
      </c>
      <c r="B23" s="31">
        <f>IFERROR(B22/B7,"")</f>
        <v>313333.33333333331</v>
      </c>
    </row>
    <row r="24" spans="1:6" x14ac:dyDescent="0.25">
      <c r="A24" t="s">
        <v>289</v>
      </c>
      <c r="B24" s="38">
        <f>IFERROR(B22/B8,"")</f>
        <v>289.515830972034</v>
      </c>
    </row>
    <row r="25" spans="1:6" x14ac:dyDescent="0.25">
      <c r="A25" t="s">
        <v>290</v>
      </c>
      <c r="B25" s="39">
        <v>5.5E-2</v>
      </c>
    </row>
    <row r="26" spans="1:6" x14ac:dyDescent="0.25">
      <c r="A26" t="s">
        <v>291</v>
      </c>
      <c r="B26" s="40">
        <v>10.48</v>
      </c>
    </row>
    <row r="28" spans="1:6" x14ac:dyDescent="0.25">
      <c r="A28" s="34" t="s">
        <v>292</v>
      </c>
      <c r="B28" s="35"/>
      <c r="C28" s="35"/>
      <c r="D28" s="35"/>
      <c r="E28" s="35"/>
      <c r="F28" s="35"/>
    </row>
    <row r="29" spans="1:6" x14ac:dyDescent="0.25">
      <c r="A29" s="41" t="s">
        <v>293</v>
      </c>
      <c r="B29" s="41" t="s">
        <v>294</v>
      </c>
      <c r="C29" s="41" t="s">
        <v>295</v>
      </c>
      <c r="D29" s="41" t="s">
        <v>296</v>
      </c>
      <c r="E29" s="41" t="s">
        <v>297</v>
      </c>
      <c r="F29" s="41" t="s">
        <v>298</v>
      </c>
    </row>
    <row r="30" spans="1:6" x14ac:dyDescent="0.25">
      <c r="A30" t="s">
        <v>521</v>
      </c>
      <c r="B30" s="36">
        <v>1</v>
      </c>
      <c r="C30" s="56">
        <v>1331</v>
      </c>
      <c r="D30" s="51">
        <f>B30*C30</f>
        <v>1331</v>
      </c>
      <c r="E30" s="51">
        <f>D30*12</f>
        <v>15972</v>
      </c>
      <c r="F30" s="52" t="s">
        <v>549</v>
      </c>
    </row>
    <row r="31" spans="1:6" x14ac:dyDescent="0.25">
      <c r="A31" t="s">
        <v>522</v>
      </c>
      <c r="B31" s="36">
        <v>2</v>
      </c>
      <c r="C31" s="56">
        <v>1994</v>
      </c>
      <c r="D31" s="51">
        <f>B31*C31</f>
        <v>3988</v>
      </c>
      <c r="E31" s="51">
        <f>D31*12</f>
        <v>47856</v>
      </c>
      <c r="F31" s="52" t="s">
        <v>549</v>
      </c>
    </row>
    <row r="32" spans="1:6" x14ac:dyDescent="0.25">
      <c r="A32" t="s">
        <v>523</v>
      </c>
      <c r="B32" s="36">
        <v>12</v>
      </c>
      <c r="C32" s="56">
        <v>2336</v>
      </c>
      <c r="D32" s="51">
        <f>B32*C32</f>
        <v>28032</v>
      </c>
      <c r="E32" s="51">
        <f>D32*12</f>
        <v>336384</v>
      </c>
      <c r="F32" s="52" t="s">
        <v>549</v>
      </c>
    </row>
    <row r="33" spans="1:6" x14ac:dyDescent="0.25">
      <c r="A33" t="s">
        <v>524</v>
      </c>
      <c r="B33" s="36">
        <v>1</v>
      </c>
      <c r="C33" s="56">
        <v>3395</v>
      </c>
      <c r="D33" s="51">
        <f>B33*C33</f>
        <v>3395</v>
      </c>
      <c r="E33" s="51">
        <f>D33*12</f>
        <v>40740</v>
      </c>
      <c r="F33" s="52" t="s">
        <v>549</v>
      </c>
    </row>
    <row r="34" spans="1:6" x14ac:dyDescent="0.25">
      <c r="A34" s="42" t="s">
        <v>303</v>
      </c>
      <c r="B34" s="43">
        <f>SUM(B30:B33)</f>
        <v>16</v>
      </c>
      <c r="C34" s="44">
        <f>IFERROR(D34/B34,"")</f>
        <v>2296.625</v>
      </c>
      <c r="D34" s="44">
        <f>SUM(D30:D33)</f>
        <v>36746</v>
      </c>
      <c r="E34" s="44">
        <f>SUM(E30:E33)</f>
        <v>440952</v>
      </c>
    </row>
    <row r="35" spans="1:6" x14ac:dyDescent="0.25">
      <c r="A35" s="55" t="s">
        <v>525</v>
      </c>
    </row>
    <row r="36" spans="1:6" x14ac:dyDescent="0.25">
      <c r="A36" s="34" t="s">
        <v>304</v>
      </c>
      <c r="B36" s="35"/>
      <c r="C36" s="35"/>
      <c r="D36" s="35"/>
      <c r="E36" s="35"/>
      <c r="F36" s="35"/>
    </row>
    <row r="37" spans="1:6" x14ac:dyDescent="0.25">
      <c r="A37" s="45"/>
      <c r="B37" s="45" t="s">
        <v>305</v>
      </c>
      <c r="C37" s="45" t="s">
        <v>306</v>
      </c>
      <c r="D37" s="45"/>
      <c r="E37" s="45"/>
      <c r="F37" s="45" t="s">
        <v>307</v>
      </c>
    </row>
    <row r="38" spans="1:6" x14ac:dyDescent="0.25">
      <c r="A38" t="s">
        <v>308</v>
      </c>
      <c r="B38" s="51">
        <v>440964</v>
      </c>
      <c r="C38" s="31">
        <f>E34</f>
        <v>440952</v>
      </c>
      <c r="F38" s="26" t="s">
        <v>550</v>
      </c>
    </row>
    <row r="39" spans="1:6" x14ac:dyDescent="0.25">
      <c r="A39" t="s">
        <v>310</v>
      </c>
      <c r="B39" s="31">
        <v>7632</v>
      </c>
      <c r="C39" s="28">
        <v>7632</v>
      </c>
    </row>
    <row r="40" spans="1:6" x14ac:dyDescent="0.25">
      <c r="A40" s="42" t="s">
        <v>311</v>
      </c>
      <c r="B40" s="31">
        <f>B38+B39</f>
        <v>448596</v>
      </c>
      <c r="C40" s="31">
        <f>C38+C39</f>
        <v>448584</v>
      </c>
    </row>
    <row r="41" spans="1:6" x14ac:dyDescent="0.25">
      <c r="A41" t="s">
        <v>312</v>
      </c>
      <c r="B41" s="31">
        <f>-B38*0.05</f>
        <v>-22048.2</v>
      </c>
      <c r="C41" s="31">
        <f>-C38*Assumptions!$B$3</f>
        <v>-13228.56</v>
      </c>
      <c r="F41" s="26" t="s">
        <v>526</v>
      </c>
    </row>
    <row r="42" spans="1:6" x14ac:dyDescent="0.25">
      <c r="A42" s="42" t="s">
        <v>314</v>
      </c>
      <c r="B42" s="44">
        <f>B40+B41</f>
        <v>426547.8</v>
      </c>
      <c r="C42" s="44">
        <f>C40+C41</f>
        <v>435355.44</v>
      </c>
    </row>
    <row r="44" spans="1:6" x14ac:dyDescent="0.25">
      <c r="A44" s="34" t="s">
        <v>315</v>
      </c>
      <c r="B44" s="35"/>
      <c r="C44" s="35"/>
      <c r="D44" s="35"/>
      <c r="E44" s="35"/>
      <c r="F44" s="35"/>
    </row>
    <row r="45" spans="1:6" x14ac:dyDescent="0.25">
      <c r="A45" s="45" t="s">
        <v>316</v>
      </c>
      <c r="B45" s="45" t="s">
        <v>305</v>
      </c>
      <c r="C45" s="45" t="s">
        <v>317</v>
      </c>
      <c r="D45" s="45" t="s">
        <v>306</v>
      </c>
      <c r="E45" s="45" t="s">
        <v>318</v>
      </c>
      <c r="F45" s="45" t="s">
        <v>307</v>
      </c>
    </row>
    <row r="46" spans="1:6" x14ac:dyDescent="0.25">
      <c r="A46" t="s">
        <v>319</v>
      </c>
      <c r="B46" s="51">
        <v>56400</v>
      </c>
      <c r="C46" s="31">
        <f>B22*Assumptions!$B$15</f>
        <v>58750</v>
      </c>
      <c r="D46" s="46">
        <f>C46</f>
        <v>58750</v>
      </c>
      <c r="E46" s="31">
        <f t="shared" ref="E46:E54" si="0">IF(ISNUMBER(B46),D46-B46,"")</f>
        <v>2350</v>
      </c>
      <c r="F46" s="26" t="s">
        <v>358</v>
      </c>
    </row>
    <row r="47" spans="1:6" x14ac:dyDescent="0.25">
      <c r="A47" t="s">
        <v>321</v>
      </c>
      <c r="B47" s="51">
        <v>26536</v>
      </c>
      <c r="C47" s="31">
        <f>B7*Assumptions!$B$5+B8*Assumptions!$B$6</f>
        <v>19234</v>
      </c>
      <c r="D47" s="46">
        <f t="shared" ref="D47:D53" si="1">IF(ISNUMBER(B47),MAX(B47,C47),C47)</f>
        <v>26536</v>
      </c>
      <c r="E47" s="31">
        <f t="shared" si="0"/>
        <v>0</v>
      </c>
      <c r="F47" s="26" t="s">
        <v>322</v>
      </c>
    </row>
    <row r="48" spans="1:6" x14ac:dyDescent="0.25">
      <c r="A48" t="s">
        <v>323</v>
      </c>
      <c r="B48" s="51">
        <v>17046</v>
      </c>
      <c r="C48" s="31">
        <f>C42*Assumptions!$B$4</f>
        <v>21767.772000000001</v>
      </c>
      <c r="D48" s="46">
        <f t="shared" si="1"/>
        <v>21767.772000000001</v>
      </c>
      <c r="E48" s="31">
        <f t="shared" si="0"/>
        <v>4721.7720000000008</v>
      </c>
      <c r="F48" s="26" t="s">
        <v>324</v>
      </c>
    </row>
    <row r="49" spans="1:6" x14ac:dyDescent="0.25">
      <c r="A49" t="s">
        <v>325</v>
      </c>
      <c r="B49" s="51">
        <v>11250</v>
      </c>
      <c r="C49" s="31">
        <f>B7*Assumptions!$B$7</f>
        <v>18000</v>
      </c>
      <c r="D49" s="46">
        <f t="shared" si="1"/>
        <v>18000</v>
      </c>
      <c r="E49" s="31">
        <f t="shared" si="0"/>
        <v>6750</v>
      </c>
      <c r="F49" s="26" t="s">
        <v>326</v>
      </c>
    </row>
    <row r="50" spans="1:6" x14ac:dyDescent="0.25">
      <c r="A50" t="s">
        <v>327</v>
      </c>
      <c r="B50" s="51">
        <v>46462</v>
      </c>
      <c r="C50" s="31">
        <f>B7*Assumptions!$B$9</f>
        <v>22500</v>
      </c>
      <c r="D50" s="46">
        <f t="shared" si="1"/>
        <v>46462</v>
      </c>
      <c r="E50" s="31">
        <f t="shared" si="0"/>
        <v>0</v>
      </c>
      <c r="F50" s="26" t="s">
        <v>500</v>
      </c>
    </row>
    <row r="51" spans="1:6" x14ac:dyDescent="0.25">
      <c r="A51" t="s">
        <v>329</v>
      </c>
      <c r="B51" s="51">
        <v>2458</v>
      </c>
      <c r="C51" s="31">
        <f>B7*Assumptions!$B$12</f>
        <v>6000</v>
      </c>
      <c r="D51" s="46">
        <f t="shared" si="1"/>
        <v>6000</v>
      </c>
      <c r="E51" s="31">
        <f t="shared" si="0"/>
        <v>3542</v>
      </c>
      <c r="F51" s="26" t="s">
        <v>330</v>
      </c>
    </row>
    <row r="52" spans="1:6" x14ac:dyDescent="0.25">
      <c r="A52" t="s">
        <v>388</v>
      </c>
      <c r="B52" s="51">
        <v>4434</v>
      </c>
      <c r="C52" s="31">
        <f>B7*Assumptions!$B$13</f>
        <v>3750</v>
      </c>
      <c r="D52" s="46">
        <f t="shared" si="1"/>
        <v>4434</v>
      </c>
      <c r="E52" s="31">
        <f t="shared" si="0"/>
        <v>0</v>
      </c>
      <c r="F52" s="26" t="s">
        <v>527</v>
      </c>
    </row>
    <row r="53" spans="1:6" x14ac:dyDescent="0.25">
      <c r="A53" t="s">
        <v>333</v>
      </c>
      <c r="B53" s="51">
        <v>3000</v>
      </c>
      <c r="C53" s="31">
        <f>B7*Assumptions!$B$14</f>
        <v>4500</v>
      </c>
      <c r="D53" s="46">
        <f t="shared" si="1"/>
        <v>4500</v>
      </c>
      <c r="E53" s="31">
        <f t="shared" si="0"/>
        <v>1500</v>
      </c>
      <c r="F53" s="26" t="s">
        <v>330</v>
      </c>
    </row>
    <row r="54" spans="1:6" x14ac:dyDescent="0.25">
      <c r="A54" s="42" t="s">
        <v>334</v>
      </c>
      <c r="B54" s="44">
        <f>SUM(B46:B53)</f>
        <v>167586</v>
      </c>
      <c r="C54" s="44">
        <f>SUM(C46:C53)</f>
        <v>154501.772</v>
      </c>
      <c r="D54" s="44">
        <f>SUM(D46:D53)</f>
        <v>186449.772</v>
      </c>
      <c r="E54" s="44">
        <f t="shared" si="0"/>
        <v>18863.771999999997</v>
      </c>
      <c r="F54" s="26" t="s">
        <v>558</v>
      </c>
    </row>
    <row r="55" spans="1:6" x14ac:dyDescent="0.25">
      <c r="A55" t="s">
        <v>336</v>
      </c>
      <c r="B55" s="31">
        <f>IFERROR(B54/B7,"")</f>
        <v>11172.4</v>
      </c>
      <c r="C55" s="31">
        <f>IFERROR(C54/B7,"")</f>
        <v>10300.118133333333</v>
      </c>
      <c r="D55" s="31">
        <f>IFERROR(D54/B7,"")</f>
        <v>12429.9848</v>
      </c>
    </row>
    <row r="56" spans="1:6" x14ac:dyDescent="0.25">
      <c r="A56" t="s">
        <v>337</v>
      </c>
      <c r="B56" s="39">
        <f>IFERROR(B54/B42,"")</f>
        <v>0.39288914395995012</v>
      </c>
      <c r="C56" s="39">
        <f>IFERROR(C54/C42,"")</f>
        <v>0.35488650836658892</v>
      </c>
      <c r="D56" s="39">
        <f>IF(C38&gt;0,IFERROR(D54/C42,""),"")</f>
        <v>0.42827022444005752</v>
      </c>
    </row>
    <row r="57" spans="1:6" x14ac:dyDescent="0.25">
      <c r="A57" s="42" t="s">
        <v>18</v>
      </c>
      <c r="B57" s="47" t="str">
        <f>IF(ISNUMBER(B54),IF(D54&gt;B54*(1+Assumptions!$B$24),"OM EXPENSES LIGHT","OM expenses reasonable"),"OM expenses not published")</f>
        <v>OM EXPENSES LIGHT</v>
      </c>
    </row>
    <row r="59" spans="1:6" x14ac:dyDescent="0.25">
      <c r="A59" s="34" t="s">
        <v>338</v>
      </c>
      <c r="B59" s="35"/>
      <c r="C59" s="35"/>
      <c r="D59" s="35"/>
      <c r="E59" s="35"/>
      <c r="F59" s="35"/>
    </row>
    <row r="60" spans="1:6" x14ac:dyDescent="0.25">
      <c r="A60" s="45"/>
      <c r="B60" s="45" t="s">
        <v>305</v>
      </c>
      <c r="C60" s="45" t="s">
        <v>306</v>
      </c>
      <c r="D60" s="45"/>
      <c r="E60" s="45"/>
      <c r="F60" s="45" t="s">
        <v>307</v>
      </c>
    </row>
    <row r="61" spans="1:6" x14ac:dyDescent="0.25">
      <c r="A61" s="42" t="s">
        <v>339</v>
      </c>
      <c r="B61" s="44">
        <f>B42-B54</f>
        <v>258961.8</v>
      </c>
      <c r="C61" s="44">
        <f>IF(C38&gt;0,C42-D54,"")</f>
        <v>248905.66800000001</v>
      </c>
      <c r="F61" t="s">
        <v>528</v>
      </c>
    </row>
    <row r="62" spans="1:6" x14ac:dyDescent="0.25">
      <c r="A62" s="42" t="s">
        <v>340</v>
      </c>
      <c r="B62" s="39">
        <f>IFERROR(B61/B22,"")</f>
        <v>5.5098255319148935E-2</v>
      </c>
      <c r="C62" s="39">
        <f>IF(C61="","",IFERROR(C61/B22,""))</f>
        <v>5.2958652765957445E-2</v>
      </c>
      <c r="F62" s="26" t="s">
        <v>341</v>
      </c>
    </row>
    <row r="63" spans="1:6" x14ac:dyDescent="0.25">
      <c r="A63" t="s">
        <v>342</v>
      </c>
      <c r="B63" s="40">
        <f>IFERROR(B22/B38,"")</f>
        <v>10.658466450776027</v>
      </c>
      <c r="C63" s="40">
        <f>IF(C38&gt;0,IFERROR(B22/C38,""),"")</f>
        <v>10.658756508644933</v>
      </c>
    </row>
    <row r="64" spans="1:6" x14ac:dyDescent="0.25">
      <c r="A64" t="s">
        <v>343</v>
      </c>
      <c r="B64" s="31">
        <f>IFERROR(B61/B7,"")</f>
        <v>17264.12</v>
      </c>
      <c r="C64" s="31">
        <f>IF(C61="","",IFERROR(C61/B7,""))</f>
        <v>16593.711200000002</v>
      </c>
    </row>
    <row r="66" spans="1:6" x14ac:dyDescent="0.25">
      <c r="A66" s="34" t="s">
        <v>344</v>
      </c>
      <c r="B66" s="35"/>
      <c r="C66" s="35"/>
      <c r="D66" s="35"/>
      <c r="E66" s="35"/>
      <c r="F66" s="35"/>
    </row>
    <row r="67" spans="1:6" x14ac:dyDescent="0.25">
      <c r="A67" t="s">
        <v>345</v>
      </c>
      <c r="B67" s="31">
        <f>IFERROR(B22*Assumptions!$B$20,"")</f>
        <v>2820000</v>
      </c>
    </row>
    <row r="68" spans="1:6" x14ac:dyDescent="0.25">
      <c r="A68" t="s">
        <v>346</v>
      </c>
      <c r="B68" s="31">
        <f>IF(C61="","",IFERROR(PV(Assumptions!$B$22/12,Assumptions!$B$23*12,-C61/Assumptions!$B$21/12),""))</f>
        <v>2695021.5437393347</v>
      </c>
    </row>
    <row r="69" spans="1:6" x14ac:dyDescent="0.25">
      <c r="A69" s="42" t="s">
        <v>347</v>
      </c>
      <c r="B69" s="31">
        <f>IFERROR(MIN(B67,B68),"")</f>
        <v>2695021.5437393347</v>
      </c>
    </row>
    <row r="70" spans="1:6" x14ac:dyDescent="0.25">
      <c r="A70" t="s">
        <v>348</v>
      </c>
      <c r="B70" s="31">
        <f>IFERROR(B22-B69,"")</f>
        <v>2004978.4562606653</v>
      </c>
    </row>
    <row r="71" spans="1:6" x14ac:dyDescent="0.25">
      <c r="A71" t="s">
        <v>349</v>
      </c>
      <c r="B71" s="31">
        <f>IFERROR(-PMT(Assumptions!$B$22/12,Assumptions!$B$23*12,B69)*12,"")</f>
        <v>199124.53439999942</v>
      </c>
    </row>
    <row r="72" spans="1:6" x14ac:dyDescent="0.25">
      <c r="A72" t="s">
        <v>350</v>
      </c>
      <c r="B72" s="40">
        <f>IFERROR(C61/B71,"")</f>
        <v>1.2500000000000036</v>
      </c>
    </row>
    <row r="73" spans="1:6" x14ac:dyDescent="0.25">
      <c r="A73" t="s">
        <v>351</v>
      </c>
      <c r="B73" s="31">
        <f>IFERROR(C61-B71,"")</f>
        <v>49781.133600000583</v>
      </c>
    </row>
    <row r="74" spans="1:6" x14ac:dyDescent="0.25">
      <c r="A74" t="s">
        <v>352</v>
      </c>
      <c r="B74" s="39">
        <f>IFERROR(B73/B70,"")</f>
        <v>2.4828762346326472E-2</v>
      </c>
    </row>
    <row r="76" spans="1:6" x14ac:dyDescent="0.25">
      <c r="A76" s="26" t="s">
        <v>353</v>
      </c>
    </row>
  </sheetData>
  <hyperlinks>
    <hyperlink ref="A3" r:id="rId1" xr:uid="{00000000-0004-0000-0F00-000000000000}"/>
  </hyperlinks>
  <printOptions horizontalCentered="1"/>
  <pageMargins left="0.25" right="0.25" top="0.25" bottom="0.25" header="0.5" footer="0.5"/>
  <pageSetup scale="50" orientation="landscape" r:id="rId2"/>
  <drawing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F75"/>
  <sheetViews>
    <sheetView showGridLines="0" workbookViewId="0">
      <pane ySplit="5" topLeftCell="A6" activePane="bottomLeft" state="frozen"/>
      <selection pane="bottomLeft"/>
    </sheetView>
  </sheetViews>
  <sheetFormatPr defaultRowHeight="15" x14ac:dyDescent="0.25"/>
  <cols>
    <col min="1" max="1" width="38" customWidth="1"/>
    <col min="2" max="5" width="16" customWidth="1"/>
    <col min="6" max="6" width="48" customWidth="1"/>
    <col min="7" max="7" width="12" customWidth="1"/>
  </cols>
  <sheetData>
    <row r="1" spans="1:3" ht="19.5" x14ac:dyDescent="0.3">
      <c r="A1" s="1" t="s">
        <v>110</v>
      </c>
    </row>
    <row r="2" spans="1:3" x14ac:dyDescent="0.25">
      <c r="A2" s="32" t="s">
        <v>354</v>
      </c>
    </row>
    <row r="3" spans="1:3" x14ac:dyDescent="0.25">
      <c r="A3" s="33" t="s">
        <v>271</v>
      </c>
      <c r="B3" s="26" t="s">
        <v>272</v>
      </c>
    </row>
    <row r="4" spans="1:3" x14ac:dyDescent="0.25">
      <c r="A4" s="47" t="s">
        <v>398</v>
      </c>
    </row>
    <row r="6" spans="1:3" x14ac:dyDescent="0.25">
      <c r="A6" s="34" t="s">
        <v>273</v>
      </c>
      <c r="B6" s="35"/>
      <c r="C6" s="35"/>
    </row>
    <row r="7" spans="1:3" x14ac:dyDescent="0.25">
      <c r="A7" t="s">
        <v>7</v>
      </c>
      <c r="B7" s="36">
        <v>18</v>
      </c>
    </row>
    <row r="8" spans="1:3" x14ac:dyDescent="0.25">
      <c r="A8" t="s">
        <v>274</v>
      </c>
      <c r="B8" s="36">
        <v>11616</v>
      </c>
    </row>
    <row r="9" spans="1:3" x14ac:dyDescent="0.25">
      <c r="A9" t="s">
        <v>10</v>
      </c>
      <c r="B9" s="36">
        <v>6098</v>
      </c>
    </row>
    <row r="10" spans="1:3" x14ac:dyDescent="0.25">
      <c r="A10" t="s">
        <v>275</v>
      </c>
      <c r="B10" s="37">
        <v>0.14000000000000001</v>
      </c>
    </row>
    <row r="11" spans="1:3" x14ac:dyDescent="0.25">
      <c r="A11" t="s">
        <v>8</v>
      </c>
      <c r="B11">
        <v>1909</v>
      </c>
    </row>
    <row r="12" spans="1:3" x14ac:dyDescent="0.25">
      <c r="A12" t="s">
        <v>276</v>
      </c>
      <c r="B12" t="s">
        <v>367</v>
      </c>
    </row>
    <row r="13" spans="1:3" x14ac:dyDescent="0.25">
      <c r="A13" t="s">
        <v>278</v>
      </c>
      <c r="B13" t="s">
        <v>372</v>
      </c>
    </row>
    <row r="14" spans="1:3" x14ac:dyDescent="0.25">
      <c r="A14" t="s">
        <v>280</v>
      </c>
    </row>
    <row r="15" spans="1:3" x14ac:dyDescent="0.25">
      <c r="A15" t="s">
        <v>281</v>
      </c>
      <c r="B15" t="s">
        <v>399</v>
      </c>
    </row>
    <row r="16" spans="1:3" x14ac:dyDescent="0.25">
      <c r="A16" t="s">
        <v>283</v>
      </c>
      <c r="B16" s="31">
        <v>3323923</v>
      </c>
    </row>
    <row r="17" spans="1:6" x14ac:dyDescent="0.25">
      <c r="A17" t="s">
        <v>284</v>
      </c>
      <c r="B17" t="s">
        <v>111</v>
      </c>
    </row>
    <row r="18" spans="1:6" x14ac:dyDescent="0.25">
      <c r="A18" t="s">
        <v>285</v>
      </c>
      <c r="B18" t="s">
        <v>112</v>
      </c>
    </row>
    <row r="19" spans="1:6" x14ac:dyDescent="0.25">
      <c r="A19" t="s">
        <v>286</v>
      </c>
      <c r="B19" t="s">
        <v>113</v>
      </c>
    </row>
    <row r="21" spans="1:6" x14ac:dyDescent="0.25">
      <c r="A21" s="34" t="s">
        <v>287</v>
      </c>
      <c r="B21" s="35"/>
      <c r="C21" s="35"/>
    </row>
    <row r="22" spans="1:6" x14ac:dyDescent="0.25">
      <c r="A22" t="s">
        <v>11</v>
      </c>
      <c r="B22" s="28">
        <v>5600000</v>
      </c>
    </row>
    <row r="23" spans="1:6" x14ac:dyDescent="0.25">
      <c r="A23" t="s">
        <v>288</v>
      </c>
      <c r="B23" s="31">
        <f>IFERROR(B22/B7,"")</f>
        <v>311111.11111111112</v>
      </c>
    </row>
    <row r="24" spans="1:6" x14ac:dyDescent="0.25">
      <c r="A24" t="s">
        <v>289</v>
      </c>
      <c r="B24" s="38">
        <f>IFERROR(B22/B8,"")</f>
        <v>482.09366391184574</v>
      </c>
    </row>
    <row r="25" spans="1:6" x14ac:dyDescent="0.25">
      <c r="A25" t="s">
        <v>290</v>
      </c>
      <c r="B25" s="39">
        <v>5.4800000000000001E-2</v>
      </c>
    </row>
    <row r="26" spans="1:6" x14ac:dyDescent="0.25">
      <c r="A26" t="s">
        <v>291</v>
      </c>
      <c r="B26" s="40">
        <v>9.1199999999999992</v>
      </c>
    </row>
    <row r="28" spans="1:6" x14ac:dyDescent="0.25">
      <c r="A28" s="34" t="s">
        <v>292</v>
      </c>
      <c r="B28" s="35"/>
      <c r="C28" s="35"/>
      <c r="D28" s="35"/>
      <c r="E28" s="35"/>
      <c r="F28" s="35"/>
    </row>
    <row r="29" spans="1:6" x14ac:dyDescent="0.25">
      <c r="A29" s="41" t="s">
        <v>293</v>
      </c>
      <c r="B29" s="41" t="s">
        <v>294</v>
      </c>
      <c r="C29" s="41" t="s">
        <v>295</v>
      </c>
      <c r="D29" s="41" t="s">
        <v>296</v>
      </c>
      <c r="E29" s="41" t="s">
        <v>297</v>
      </c>
      <c r="F29" s="41" t="s">
        <v>298</v>
      </c>
    </row>
    <row r="30" spans="1:6" x14ac:dyDescent="0.25">
      <c r="A30" t="s">
        <v>400</v>
      </c>
      <c r="B30" s="36">
        <v>9</v>
      </c>
      <c r="C30" s="48">
        <v>2239</v>
      </c>
      <c r="D30" s="31">
        <f>B30*C30</f>
        <v>20151</v>
      </c>
      <c r="E30" s="31">
        <f>D30*12</f>
        <v>241812</v>
      </c>
      <c r="F30" s="26" t="s">
        <v>45</v>
      </c>
    </row>
    <row r="31" spans="1:6" x14ac:dyDescent="0.25">
      <c r="A31" t="s">
        <v>401</v>
      </c>
      <c r="B31" s="36">
        <v>7</v>
      </c>
      <c r="C31" s="48">
        <v>3198</v>
      </c>
      <c r="D31" s="31">
        <f>B31*C31</f>
        <v>22386</v>
      </c>
      <c r="E31" s="31">
        <f>D31*12</f>
        <v>268632</v>
      </c>
      <c r="F31" s="26" t="s">
        <v>45</v>
      </c>
    </row>
    <row r="32" spans="1:6" x14ac:dyDescent="0.25">
      <c r="A32" t="s">
        <v>402</v>
      </c>
      <c r="B32" s="36">
        <v>2</v>
      </c>
      <c r="C32" s="48">
        <v>4317</v>
      </c>
      <c r="D32" s="31">
        <f>B32*C32</f>
        <v>8634</v>
      </c>
      <c r="E32" s="31">
        <f>D32*12</f>
        <v>103608</v>
      </c>
      <c r="F32" s="26" t="s">
        <v>45</v>
      </c>
    </row>
    <row r="33" spans="1:6" x14ac:dyDescent="0.25">
      <c r="A33" s="42" t="s">
        <v>303</v>
      </c>
      <c r="B33" s="43">
        <f>SUM(B30:B32)</f>
        <v>18</v>
      </c>
      <c r="C33" s="44">
        <f>IFERROR(D33/B33,"")</f>
        <v>2842.8333333333335</v>
      </c>
      <c r="D33" s="44">
        <f>SUM(D30:D32)</f>
        <v>51171</v>
      </c>
      <c r="E33" s="44">
        <f>SUM(E30:E32)</f>
        <v>614052</v>
      </c>
    </row>
    <row r="35" spans="1:6" x14ac:dyDescent="0.25">
      <c r="A35" s="34" t="s">
        <v>304</v>
      </c>
      <c r="B35" s="35"/>
      <c r="C35" s="35"/>
      <c r="D35" s="35"/>
      <c r="E35" s="35"/>
      <c r="F35" s="35"/>
    </row>
    <row r="36" spans="1:6" x14ac:dyDescent="0.25">
      <c r="A36" s="45"/>
      <c r="B36" s="45" t="s">
        <v>305</v>
      </c>
      <c r="C36" s="45" t="s">
        <v>306</v>
      </c>
      <c r="D36" s="45"/>
      <c r="E36" s="45"/>
      <c r="F36" s="45" t="s">
        <v>307</v>
      </c>
    </row>
    <row r="37" spans="1:6" x14ac:dyDescent="0.25">
      <c r="A37" t="s">
        <v>308</v>
      </c>
      <c r="B37" s="31">
        <v>614035.08771929832</v>
      </c>
      <c r="C37" s="31">
        <f>E33</f>
        <v>614052</v>
      </c>
      <c r="F37" s="26" t="s">
        <v>309</v>
      </c>
    </row>
    <row r="38" spans="1:6" x14ac:dyDescent="0.25">
      <c r="A38" t="s">
        <v>310</v>
      </c>
      <c r="B38" s="31">
        <v>0</v>
      </c>
      <c r="C38" s="28">
        <v>0</v>
      </c>
    </row>
    <row r="39" spans="1:6" x14ac:dyDescent="0.25">
      <c r="A39" s="42" t="s">
        <v>311</v>
      </c>
      <c r="B39" s="31">
        <f>B37+B38</f>
        <v>614035.08771929832</v>
      </c>
      <c r="C39" s="31">
        <f>C37+C38</f>
        <v>614052</v>
      </c>
    </row>
    <row r="40" spans="1:6" x14ac:dyDescent="0.25">
      <c r="A40" t="s">
        <v>312</v>
      </c>
      <c r="B40" s="31">
        <f>-B37*0.03</f>
        <v>-18421.05263157895</v>
      </c>
      <c r="C40" s="31">
        <f>-C37*Assumptions!$B$3</f>
        <v>-18421.559999999998</v>
      </c>
      <c r="F40" s="26" t="s">
        <v>313</v>
      </c>
    </row>
    <row r="41" spans="1:6" x14ac:dyDescent="0.25">
      <c r="A41" s="42" t="s">
        <v>314</v>
      </c>
      <c r="B41" s="44">
        <f>B39+B40</f>
        <v>595614.03508771933</v>
      </c>
      <c r="C41" s="44">
        <f>C39+C40</f>
        <v>595630.43999999994</v>
      </c>
    </row>
    <row r="43" spans="1:6" x14ac:dyDescent="0.25">
      <c r="A43" s="34" t="s">
        <v>315</v>
      </c>
      <c r="B43" s="35"/>
      <c r="C43" s="35"/>
      <c r="D43" s="35"/>
      <c r="E43" s="35"/>
      <c r="F43" s="35"/>
    </row>
    <row r="44" spans="1:6" x14ac:dyDescent="0.25">
      <c r="A44" s="45" t="s">
        <v>316</v>
      </c>
      <c r="B44" s="45" t="s">
        <v>305</v>
      </c>
      <c r="C44" s="45" t="s">
        <v>317</v>
      </c>
      <c r="D44" s="45" t="s">
        <v>306</v>
      </c>
      <c r="E44" s="45" t="s">
        <v>318</v>
      </c>
      <c r="F44" s="45" t="s">
        <v>307</v>
      </c>
    </row>
    <row r="45" spans="1:6" x14ac:dyDescent="0.25">
      <c r="A45" t="s">
        <v>319</v>
      </c>
      <c r="B45" s="31"/>
      <c r="C45" s="31">
        <f>B22*Assumptions!$B$15</f>
        <v>70000</v>
      </c>
      <c r="D45" s="46">
        <f>C45</f>
        <v>70000</v>
      </c>
      <c r="E45" s="31" t="str">
        <f t="shared" ref="E45:E53" si="0">IF(ISNUMBER(B45),D45-B45,"")</f>
        <v/>
      </c>
      <c r="F45" s="26" t="s">
        <v>358</v>
      </c>
    </row>
    <row r="46" spans="1:6" x14ac:dyDescent="0.25">
      <c r="A46" t="s">
        <v>321</v>
      </c>
      <c r="B46" s="31"/>
      <c r="C46" s="31">
        <f>B7*Assumptions!$B$5+B8*Assumptions!$B$6</f>
        <v>15216</v>
      </c>
      <c r="D46" s="46">
        <f t="shared" ref="D46:D52" si="1">IF(ISNUMBER(B46),MAX(B46,C46),C46)</f>
        <v>15216</v>
      </c>
      <c r="E46" s="31" t="str">
        <f t="shared" si="0"/>
        <v/>
      </c>
      <c r="F46" s="26" t="s">
        <v>322</v>
      </c>
    </row>
    <row r="47" spans="1:6" x14ac:dyDescent="0.25">
      <c r="A47" t="s">
        <v>323</v>
      </c>
      <c r="B47" s="31"/>
      <c r="C47" s="31">
        <f>C41*Assumptions!$B$4</f>
        <v>29781.521999999997</v>
      </c>
      <c r="D47" s="46">
        <f t="shared" si="1"/>
        <v>29781.521999999997</v>
      </c>
      <c r="E47" s="31" t="str">
        <f t="shared" si="0"/>
        <v/>
      </c>
      <c r="F47" s="26" t="s">
        <v>324</v>
      </c>
    </row>
    <row r="48" spans="1:6" x14ac:dyDescent="0.25">
      <c r="A48" t="s">
        <v>325</v>
      </c>
      <c r="B48" s="31"/>
      <c r="C48" s="31">
        <f>B7*Assumptions!$B$7</f>
        <v>21600</v>
      </c>
      <c r="D48" s="46">
        <f t="shared" si="1"/>
        <v>21600</v>
      </c>
      <c r="E48" s="31" t="str">
        <f t="shared" si="0"/>
        <v/>
      </c>
      <c r="F48" s="26" t="s">
        <v>326</v>
      </c>
    </row>
    <row r="49" spans="1:6" x14ac:dyDescent="0.25">
      <c r="A49" t="s">
        <v>327</v>
      </c>
      <c r="B49" s="31"/>
      <c r="C49" s="31">
        <f>B7*Assumptions!$B$9</f>
        <v>27000</v>
      </c>
      <c r="D49" s="46">
        <f t="shared" si="1"/>
        <v>27000</v>
      </c>
      <c r="E49" s="31" t="str">
        <f t="shared" si="0"/>
        <v/>
      </c>
      <c r="F49" s="26" t="s">
        <v>328</v>
      </c>
    </row>
    <row r="50" spans="1:6" x14ac:dyDescent="0.25">
      <c r="A50" t="s">
        <v>329</v>
      </c>
      <c r="B50" s="31"/>
      <c r="C50" s="31">
        <f>B7*Assumptions!$B$12</f>
        <v>7200</v>
      </c>
      <c r="D50" s="46">
        <f t="shared" si="1"/>
        <v>7200</v>
      </c>
      <c r="E50" s="31" t="str">
        <f t="shared" si="0"/>
        <v/>
      </c>
      <c r="F50" s="26" t="s">
        <v>330</v>
      </c>
    </row>
    <row r="51" spans="1:6" x14ac:dyDescent="0.25">
      <c r="A51" t="s">
        <v>331</v>
      </c>
      <c r="B51" s="31"/>
      <c r="C51" s="31">
        <f>B7*Assumptions!$B$13</f>
        <v>4500</v>
      </c>
      <c r="D51" s="46">
        <f t="shared" si="1"/>
        <v>4500</v>
      </c>
      <c r="E51" s="31" t="str">
        <f t="shared" si="0"/>
        <v/>
      </c>
      <c r="F51" s="26" t="s">
        <v>332</v>
      </c>
    </row>
    <row r="52" spans="1:6" x14ac:dyDescent="0.25">
      <c r="A52" t="s">
        <v>333</v>
      </c>
      <c r="B52" s="31"/>
      <c r="C52" s="31">
        <f>B7*Assumptions!$B$14</f>
        <v>5400</v>
      </c>
      <c r="D52" s="46">
        <f t="shared" si="1"/>
        <v>5400</v>
      </c>
      <c r="E52" s="31" t="str">
        <f t="shared" si="0"/>
        <v/>
      </c>
      <c r="F52" s="26" t="s">
        <v>330</v>
      </c>
    </row>
    <row r="53" spans="1:6" x14ac:dyDescent="0.25">
      <c r="A53" s="42" t="s">
        <v>334</v>
      </c>
      <c r="B53" s="44">
        <f>B41-B22*B25</f>
        <v>288734.03508771933</v>
      </c>
      <c r="C53" s="44">
        <f>SUM(C45:C52)</f>
        <v>180697.522</v>
      </c>
      <c r="D53" s="44">
        <f>SUM(D45:D52)</f>
        <v>180697.522</v>
      </c>
      <c r="E53" s="44">
        <f t="shared" si="0"/>
        <v>-108036.51308771933</v>
      </c>
      <c r="F53" s="26" t="s">
        <v>335</v>
      </c>
    </row>
    <row r="54" spans="1:6" x14ac:dyDescent="0.25">
      <c r="A54" t="s">
        <v>336</v>
      </c>
      <c r="B54" s="31">
        <f>IFERROR(B53/B7,"")</f>
        <v>16040.779727095518</v>
      </c>
      <c r="C54" s="31">
        <f>IFERROR(C53/B7,"")</f>
        <v>10038.751222222221</v>
      </c>
      <c r="D54" s="31">
        <f>IFERROR(D53/B7,"")</f>
        <v>10038.751222222221</v>
      </c>
    </row>
    <row r="55" spans="1:6" x14ac:dyDescent="0.25">
      <c r="A55" t="s">
        <v>337</v>
      </c>
      <c r="B55" s="39">
        <f>IFERROR(B53/B41,"")</f>
        <v>0.48476701030927838</v>
      </c>
      <c r="C55" s="39">
        <f>IFERROR(C53/C41,"")</f>
        <v>0.30337187266654808</v>
      </c>
      <c r="D55" s="39">
        <f>IF(C37&gt;0,IFERROR(D53/C41,""),"")</f>
        <v>0.30337187266654808</v>
      </c>
    </row>
    <row r="56" spans="1:6" x14ac:dyDescent="0.25">
      <c r="A56" s="42" t="s">
        <v>18</v>
      </c>
      <c r="B56" s="47" t="str">
        <f>IF(ISNUMBER(B53),IF(D53&gt;B53*(1+Assumptions!$B$24),"OM EXPENSES LIGHT","OM expenses reasonable"),"OM expenses not published")</f>
        <v>OM expenses reasonable</v>
      </c>
    </row>
    <row r="58" spans="1:6" x14ac:dyDescent="0.25">
      <c r="A58" s="34" t="s">
        <v>338</v>
      </c>
      <c r="B58" s="35"/>
      <c r="C58" s="35"/>
      <c r="D58" s="35"/>
      <c r="E58" s="35"/>
      <c r="F58" s="35"/>
    </row>
    <row r="59" spans="1:6" x14ac:dyDescent="0.25">
      <c r="A59" s="45"/>
      <c r="B59" s="45" t="s">
        <v>305</v>
      </c>
      <c r="C59" s="45" t="s">
        <v>306</v>
      </c>
      <c r="D59" s="45"/>
      <c r="E59" s="45"/>
      <c r="F59" s="45" t="s">
        <v>307</v>
      </c>
    </row>
    <row r="60" spans="1:6" x14ac:dyDescent="0.25">
      <c r="A60" s="42" t="s">
        <v>339</v>
      </c>
      <c r="B60" s="44">
        <f>B41-B53</f>
        <v>306880</v>
      </c>
      <c r="C60" s="44">
        <f>IF(C37&gt;0,C41-D53,"")</f>
        <v>414932.91799999995</v>
      </c>
    </row>
    <row r="61" spans="1:6" x14ac:dyDescent="0.25">
      <c r="A61" s="42" t="s">
        <v>340</v>
      </c>
      <c r="B61" s="39">
        <f>IFERROR(B60/B22,"")</f>
        <v>5.4800000000000001E-2</v>
      </c>
      <c r="C61" s="39">
        <f>IF(C60="","",IFERROR(C60/B22,""))</f>
        <v>7.409516392857142E-2</v>
      </c>
      <c r="F61" s="26" t="s">
        <v>341</v>
      </c>
    </row>
    <row r="62" spans="1:6" x14ac:dyDescent="0.25">
      <c r="A62" t="s">
        <v>342</v>
      </c>
      <c r="B62" s="40">
        <f>IFERROR(B22/B37,"")</f>
        <v>9.1199999999999992</v>
      </c>
      <c r="C62" s="40">
        <f>IF(C37&gt;0,IFERROR(B22/C37,""),"")</f>
        <v>9.1197488160611808</v>
      </c>
    </row>
    <row r="63" spans="1:6" x14ac:dyDescent="0.25">
      <c r="A63" t="s">
        <v>343</v>
      </c>
      <c r="B63" s="31">
        <f>IFERROR(B60/B7,"")</f>
        <v>17048.888888888891</v>
      </c>
      <c r="C63" s="31">
        <f>IF(C60="","",IFERROR(C60/B7,""))</f>
        <v>23051.828777777773</v>
      </c>
    </row>
    <row r="65" spans="1:6" x14ac:dyDescent="0.25">
      <c r="A65" s="34" t="s">
        <v>344</v>
      </c>
      <c r="B65" s="35"/>
      <c r="C65" s="35"/>
      <c r="D65" s="35"/>
      <c r="E65" s="35"/>
      <c r="F65" s="35"/>
    </row>
    <row r="66" spans="1:6" x14ac:dyDescent="0.25">
      <c r="A66" t="s">
        <v>345</v>
      </c>
      <c r="B66" s="31">
        <f>IFERROR(B22*Assumptions!$B$20,"")</f>
        <v>3360000</v>
      </c>
    </row>
    <row r="67" spans="1:6" x14ac:dyDescent="0.25">
      <c r="A67" t="s">
        <v>346</v>
      </c>
      <c r="B67" s="31">
        <f>IF(C60="","",IFERROR(PV(Assumptions!$B$22/12,Assumptions!$B$23*12,-C60/Assumptions!$B$21/12),""))</f>
        <v>4492678.5404365575</v>
      </c>
    </row>
    <row r="68" spans="1:6" x14ac:dyDescent="0.25">
      <c r="A68" s="42" t="s">
        <v>347</v>
      </c>
      <c r="B68" s="31">
        <f>IFERROR(MIN(B66,B67),"")</f>
        <v>3360000</v>
      </c>
    </row>
    <row r="69" spans="1:6" x14ac:dyDescent="0.25">
      <c r="A69" t="s">
        <v>348</v>
      </c>
      <c r="B69" s="31">
        <f>IFERROR(B22-B68,"")</f>
        <v>2240000</v>
      </c>
    </row>
    <row r="70" spans="1:6" x14ac:dyDescent="0.25">
      <c r="A70" t="s">
        <v>349</v>
      </c>
      <c r="B70" s="31">
        <f>IFERROR(-PMT(Assumptions!$B$22/12,Assumptions!$B$23*12,B68)*12,"")</f>
        <v>248257.1752119211</v>
      </c>
    </row>
    <row r="71" spans="1:6" x14ac:dyDescent="0.25">
      <c r="A71" t="s">
        <v>350</v>
      </c>
      <c r="B71" s="40">
        <f>IFERROR(C60/B70,"")</f>
        <v>1.6713833855790816</v>
      </c>
    </row>
    <row r="72" spans="1:6" x14ac:dyDescent="0.25">
      <c r="A72" t="s">
        <v>351</v>
      </c>
      <c r="B72" s="31">
        <f>IFERROR(C60-B70,"")</f>
        <v>166675.74278807885</v>
      </c>
    </row>
    <row r="73" spans="1:6" x14ac:dyDescent="0.25">
      <c r="A73" t="s">
        <v>352</v>
      </c>
      <c r="B73" s="39">
        <f>IFERROR(B72/B69,"")</f>
        <v>7.440881374467806E-2</v>
      </c>
    </row>
    <row r="75" spans="1:6" x14ac:dyDescent="0.25">
      <c r="A75" s="26" t="s">
        <v>353</v>
      </c>
    </row>
  </sheetData>
  <hyperlinks>
    <hyperlink ref="A3" r:id="rId1" xr:uid="{00000000-0004-0000-1000-000000000000}"/>
  </hyperlinks>
  <pageMargins left="0.75" right="0.75" top="1" bottom="1" header="0.5" footer="0.5"/>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F75"/>
  <sheetViews>
    <sheetView showGridLines="0" workbookViewId="0">
      <pane ySplit="5" topLeftCell="A6" activePane="bottomLeft" state="frozen"/>
      <selection pane="bottomLeft"/>
    </sheetView>
  </sheetViews>
  <sheetFormatPr defaultRowHeight="15" x14ac:dyDescent="0.25"/>
  <cols>
    <col min="1" max="1" width="38" customWidth="1"/>
    <col min="2" max="5" width="16" customWidth="1"/>
    <col min="6" max="6" width="48" customWidth="1"/>
    <col min="7" max="7" width="12" customWidth="1"/>
  </cols>
  <sheetData>
    <row r="1" spans="1:3" ht="19.5" x14ac:dyDescent="0.3">
      <c r="A1" s="1" t="s">
        <v>115</v>
      </c>
    </row>
    <row r="2" spans="1:3" x14ac:dyDescent="0.25">
      <c r="A2" s="32" t="s">
        <v>403</v>
      </c>
    </row>
    <row r="3" spans="1:3" x14ac:dyDescent="0.25">
      <c r="A3" s="33" t="s">
        <v>271</v>
      </c>
      <c r="B3" s="26" t="s">
        <v>272</v>
      </c>
    </row>
    <row r="4" spans="1:3" x14ac:dyDescent="0.25">
      <c r="A4" s="47" t="s">
        <v>404</v>
      </c>
    </row>
    <row r="6" spans="1:3" x14ac:dyDescent="0.25">
      <c r="A6" s="34" t="s">
        <v>273</v>
      </c>
      <c r="B6" s="35"/>
      <c r="C6" s="35"/>
    </row>
    <row r="7" spans="1:3" x14ac:dyDescent="0.25">
      <c r="A7" t="s">
        <v>7</v>
      </c>
      <c r="B7" s="36">
        <v>10</v>
      </c>
    </row>
    <row r="8" spans="1:3" x14ac:dyDescent="0.25">
      <c r="A8" t="s">
        <v>274</v>
      </c>
      <c r="B8" s="36">
        <v>9340</v>
      </c>
    </row>
    <row r="9" spans="1:3" x14ac:dyDescent="0.25">
      <c r="A9" t="s">
        <v>10</v>
      </c>
      <c r="B9" s="36">
        <v>10890</v>
      </c>
    </row>
    <row r="10" spans="1:3" x14ac:dyDescent="0.25">
      <c r="A10" t="s">
        <v>275</v>
      </c>
      <c r="B10" s="37">
        <v>0.25</v>
      </c>
    </row>
    <row r="11" spans="1:3" x14ac:dyDescent="0.25">
      <c r="A11" t="s">
        <v>8</v>
      </c>
      <c r="B11">
        <v>1957</v>
      </c>
    </row>
    <row r="12" spans="1:3" x14ac:dyDescent="0.25">
      <c r="A12" t="s">
        <v>276</v>
      </c>
      <c r="B12" t="s">
        <v>355</v>
      </c>
    </row>
    <row r="13" spans="1:3" x14ac:dyDescent="0.25">
      <c r="A13" t="s">
        <v>278</v>
      </c>
      <c r="B13" t="s">
        <v>405</v>
      </c>
    </row>
    <row r="14" spans="1:3" x14ac:dyDescent="0.25">
      <c r="A14" t="s">
        <v>280</v>
      </c>
      <c r="B14" t="s">
        <v>34</v>
      </c>
    </row>
    <row r="15" spans="1:3" x14ac:dyDescent="0.25">
      <c r="A15" t="s">
        <v>281</v>
      </c>
      <c r="B15" t="s">
        <v>406</v>
      </c>
    </row>
    <row r="16" spans="1:3" x14ac:dyDescent="0.25">
      <c r="A16" t="s">
        <v>283</v>
      </c>
      <c r="B16" s="31">
        <v>3064650</v>
      </c>
    </row>
    <row r="17" spans="1:6" x14ac:dyDescent="0.25">
      <c r="A17" t="s">
        <v>284</v>
      </c>
      <c r="B17" t="s">
        <v>118</v>
      </c>
    </row>
    <row r="18" spans="1:6" x14ac:dyDescent="0.25">
      <c r="A18" t="s">
        <v>285</v>
      </c>
      <c r="B18" t="s">
        <v>119</v>
      </c>
    </row>
    <row r="19" spans="1:6" x14ac:dyDescent="0.25">
      <c r="A19" t="s">
        <v>286</v>
      </c>
      <c r="B19" t="s">
        <v>93</v>
      </c>
    </row>
    <row r="21" spans="1:6" x14ac:dyDescent="0.25">
      <c r="A21" s="34" t="s">
        <v>287</v>
      </c>
      <c r="B21" s="35"/>
      <c r="C21" s="35"/>
    </row>
    <row r="22" spans="1:6" x14ac:dyDescent="0.25">
      <c r="A22" t="s">
        <v>11</v>
      </c>
      <c r="B22" s="28">
        <v>3450000</v>
      </c>
    </row>
    <row r="23" spans="1:6" x14ac:dyDescent="0.25">
      <c r="A23" t="s">
        <v>288</v>
      </c>
      <c r="B23" s="31">
        <f>IFERROR(B22/B7,"")</f>
        <v>345000</v>
      </c>
    </row>
    <row r="24" spans="1:6" x14ac:dyDescent="0.25">
      <c r="A24" t="s">
        <v>289</v>
      </c>
      <c r="B24" s="38">
        <f>IFERROR(B22/B8,"")</f>
        <v>369.37901498929335</v>
      </c>
    </row>
    <row r="25" spans="1:6" x14ac:dyDescent="0.25">
      <c r="A25" t="s">
        <v>290</v>
      </c>
      <c r="B25" s="39">
        <v>5.4199999999999998E-2</v>
      </c>
    </row>
    <row r="26" spans="1:6" x14ac:dyDescent="0.25">
      <c r="A26" t="s">
        <v>291</v>
      </c>
      <c r="B26" s="40"/>
    </row>
    <row r="28" spans="1:6" x14ac:dyDescent="0.25">
      <c r="A28" s="34" t="s">
        <v>292</v>
      </c>
      <c r="B28" s="35"/>
      <c r="C28" s="35"/>
      <c r="D28" s="35"/>
      <c r="E28" s="35"/>
      <c r="F28" s="35"/>
    </row>
    <row r="29" spans="1:6" x14ac:dyDescent="0.25">
      <c r="A29" s="41" t="s">
        <v>293</v>
      </c>
      <c r="B29" s="41" t="s">
        <v>294</v>
      </c>
      <c r="C29" s="41" t="s">
        <v>295</v>
      </c>
      <c r="D29" s="41" t="s">
        <v>296</v>
      </c>
      <c r="E29" s="41" t="s">
        <v>297</v>
      </c>
      <c r="F29" s="41" t="s">
        <v>298</v>
      </c>
    </row>
    <row r="30" spans="1:6" x14ac:dyDescent="0.25">
      <c r="A30" t="s">
        <v>407</v>
      </c>
      <c r="B30" s="36">
        <v>4</v>
      </c>
      <c r="C30" s="49">
        <v>2200</v>
      </c>
      <c r="D30" s="31">
        <f>B30*C30</f>
        <v>8800</v>
      </c>
      <c r="E30" s="31">
        <f>D30*12</f>
        <v>105600</v>
      </c>
      <c r="F30" s="26" t="s">
        <v>408</v>
      </c>
    </row>
    <row r="31" spans="1:6" x14ac:dyDescent="0.25">
      <c r="A31" t="s">
        <v>409</v>
      </c>
      <c r="B31" s="36">
        <v>1</v>
      </c>
      <c r="C31" s="49">
        <v>3800</v>
      </c>
      <c r="D31" s="31">
        <f>B31*C31</f>
        <v>3800</v>
      </c>
      <c r="E31" s="31">
        <f>D31*12</f>
        <v>45600</v>
      </c>
      <c r="F31" s="26" t="s">
        <v>408</v>
      </c>
    </row>
    <row r="32" spans="1:6" x14ac:dyDescent="0.25">
      <c r="A32" t="s">
        <v>410</v>
      </c>
      <c r="B32" s="36">
        <v>5</v>
      </c>
      <c r="C32" s="49">
        <v>2900</v>
      </c>
      <c r="D32" s="31">
        <f>B32*C32</f>
        <v>14500</v>
      </c>
      <c r="E32" s="31">
        <f>D32*12</f>
        <v>174000</v>
      </c>
      <c r="F32" s="26" t="s">
        <v>408</v>
      </c>
    </row>
    <row r="33" spans="1:6" x14ac:dyDescent="0.25">
      <c r="A33" s="42" t="s">
        <v>303</v>
      </c>
      <c r="B33" s="43">
        <f>SUM(B30:B32)</f>
        <v>10</v>
      </c>
      <c r="C33" s="44">
        <f>IFERROR(D33/B33,"")</f>
        <v>2710</v>
      </c>
      <c r="D33" s="44">
        <f>SUM(D30:D32)</f>
        <v>27100</v>
      </c>
      <c r="E33" s="44">
        <f>SUM(E30:E32)</f>
        <v>325200</v>
      </c>
    </row>
    <row r="35" spans="1:6" x14ac:dyDescent="0.25">
      <c r="A35" s="34" t="s">
        <v>304</v>
      </c>
      <c r="B35" s="35"/>
      <c r="C35" s="35"/>
      <c r="D35" s="35"/>
      <c r="E35" s="35"/>
      <c r="F35" s="35"/>
    </row>
    <row r="36" spans="1:6" x14ac:dyDescent="0.25">
      <c r="A36" s="45"/>
      <c r="B36" s="45" t="s">
        <v>305</v>
      </c>
      <c r="C36" s="45" t="s">
        <v>306</v>
      </c>
      <c r="D36" s="45"/>
      <c r="E36" s="45"/>
      <c r="F36" s="45" t="s">
        <v>307</v>
      </c>
    </row>
    <row r="37" spans="1:6" x14ac:dyDescent="0.25">
      <c r="A37" t="s">
        <v>308</v>
      </c>
      <c r="B37" s="31"/>
      <c r="C37" s="31">
        <f>E33</f>
        <v>325200</v>
      </c>
      <c r="F37" s="26" t="s">
        <v>411</v>
      </c>
    </row>
    <row r="38" spans="1:6" x14ac:dyDescent="0.25">
      <c r="A38" t="s">
        <v>310</v>
      </c>
      <c r="B38" s="31">
        <v>0</v>
      </c>
      <c r="C38" s="28">
        <v>0</v>
      </c>
    </row>
    <row r="39" spans="1:6" x14ac:dyDescent="0.25">
      <c r="A39" s="42" t="s">
        <v>311</v>
      </c>
      <c r="B39" s="31">
        <f>B37+B38</f>
        <v>0</v>
      </c>
      <c r="C39" s="31">
        <f>C37+C38</f>
        <v>325200</v>
      </c>
    </row>
    <row r="40" spans="1:6" x14ac:dyDescent="0.25">
      <c r="A40" t="s">
        <v>312</v>
      </c>
      <c r="B40" s="31">
        <f>-B37*0.03</f>
        <v>0</v>
      </c>
      <c r="C40" s="31">
        <f>-C37*Assumptions!$B$3</f>
        <v>-9756</v>
      </c>
      <c r="F40" s="26" t="s">
        <v>313</v>
      </c>
    </row>
    <row r="41" spans="1:6" x14ac:dyDescent="0.25">
      <c r="A41" s="42" t="s">
        <v>314</v>
      </c>
      <c r="B41" s="44">
        <f>B39+B40</f>
        <v>0</v>
      </c>
      <c r="C41" s="44">
        <f>C39+C40</f>
        <v>315444</v>
      </c>
    </row>
    <row r="43" spans="1:6" x14ac:dyDescent="0.25">
      <c r="A43" s="34" t="s">
        <v>315</v>
      </c>
      <c r="B43" s="35"/>
      <c r="C43" s="35"/>
      <c r="D43" s="35"/>
      <c r="E43" s="35"/>
      <c r="F43" s="35"/>
    </row>
    <row r="44" spans="1:6" x14ac:dyDescent="0.25">
      <c r="A44" s="45" t="s">
        <v>316</v>
      </c>
      <c r="B44" s="45" t="s">
        <v>305</v>
      </c>
      <c r="C44" s="45" t="s">
        <v>317</v>
      </c>
      <c r="D44" s="45" t="s">
        <v>306</v>
      </c>
      <c r="E44" s="45" t="s">
        <v>318</v>
      </c>
      <c r="F44" s="45" t="s">
        <v>307</v>
      </c>
    </row>
    <row r="45" spans="1:6" x14ac:dyDescent="0.25">
      <c r="A45" t="s">
        <v>319</v>
      </c>
      <c r="B45" s="31"/>
      <c r="C45" s="31">
        <f>B22*Assumptions!$B$19</f>
        <v>41400</v>
      </c>
      <c r="D45" s="46">
        <f>C45</f>
        <v>41400</v>
      </c>
      <c r="E45" s="31" t="str">
        <f t="shared" ref="E45:E53" si="0">IF(ISNUMBER(B45),D45-B45,"")</f>
        <v/>
      </c>
      <c r="F45" s="26" t="s">
        <v>412</v>
      </c>
    </row>
    <row r="46" spans="1:6" x14ac:dyDescent="0.25">
      <c r="A46" t="s">
        <v>321</v>
      </c>
      <c r="B46" s="31"/>
      <c r="C46" s="31">
        <f>B7*Assumptions!$B$5+B8*Assumptions!$B$6</f>
        <v>11340</v>
      </c>
      <c r="D46" s="46">
        <f t="shared" ref="D46:D52" si="1">IF(ISNUMBER(B46),MAX(B46,C46),C46)</f>
        <v>11340</v>
      </c>
      <c r="E46" s="31" t="str">
        <f t="shared" si="0"/>
        <v/>
      </c>
      <c r="F46" s="26" t="s">
        <v>322</v>
      </c>
    </row>
    <row r="47" spans="1:6" x14ac:dyDescent="0.25">
      <c r="A47" t="s">
        <v>323</v>
      </c>
      <c r="B47" s="31"/>
      <c r="C47" s="31">
        <f>C41*Assumptions!$B$4</f>
        <v>15772.2</v>
      </c>
      <c r="D47" s="46">
        <f t="shared" si="1"/>
        <v>15772.2</v>
      </c>
      <c r="E47" s="31" t="str">
        <f t="shared" si="0"/>
        <v/>
      </c>
      <c r="F47" s="26" t="s">
        <v>324</v>
      </c>
    </row>
    <row r="48" spans="1:6" x14ac:dyDescent="0.25">
      <c r="A48" t="s">
        <v>325</v>
      </c>
      <c r="B48" s="31"/>
      <c r="C48" s="31">
        <f>B7*Assumptions!$B$7</f>
        <v>12000</v>
      </c>
      <c r="D48" s="46">
        <f t="shared" si="1"/>
        <v>12000</v>
      </c>
      <c r="E48" s="31" t="str">
        <f t="shared" si="0"/>
        <v/>
      </c>
      <c r="F48" s="26" t="s">
        <v>326</v>
      </c>
    </row>
    <row r="49" spans="1:6" x14ac:dyDescent="0.25">
      <c r="A49" t="s">
        <v>327</v>
      </c>
      <c r="B49" s="31"/>
      <c r="C49" s="31">
        <f>B7*Assumptions!$B$11</f>
        <v>16000</v>
      </c>
      <c r="D49" s="46">
        <f t="shared" si="1"/>
        <v>16000</v>
      </c>
      <c r="E49" s="31" t="str">
        <f t="shared" si="0"/>
        <v/>
      </c>
      <c r="F49" s="26" t="s">
        <v>328</v>
      </c>
    </row>
    <row r="50" spans="1:6" x14ac:dyDescent="0.25">
      <c r="A50" t="s">
        <v>329</v>
      </c>
      <c r="B50" s="31"/>
      <c r="C50" s="31">
        <f>B7*Assumptions!$B$12</f>
        <v>4000</v>
      </c>
      <c r="D50" s="46">
        <f t="shared" si="1"/>
        <v>4000</v>
      </c>
      <c r="E50" s="31" t="str">
        <f t="shared" si="0"/>
        <v/>
      </c>
      <c r="F50" s="26" t="s">
        <v>330</v>
      </c>
    </row>
    <row r="51" spans="1:6" x14ac:dyDescent="0.25">
      <c r="A51" t="s">
        <v>331</v>
      </c>
      <c r="B51" s="31"/>
      <c r="C51" s="31">
        <f>B7*Assumptions!$B$13</f>
        <v>2500</v>
      </c>
      <c r="D51" s="46">
        <f t="shared" si="1"/>
        <v>2500</v>
      </c>
      <c r="E51" s="31" t="str">
        <f t="shared" si="0"/>
        <v/>
      </c>
      <c r="F51" s="26" t="s">
        <v>332</v>
      </c>
    </row>
    <row r="52" spans="1:6" x14ac:dyDescent="0.25">
      <c r="A52" t="s">
        <v>333</v>
      </c>
      <c r="B52" s="31"/>
      <c r="C52" s="31">
        <f>B7*Assumptions!$B$14</f>
        <v>3000</v>
      </c>
      <c r="D52" s="46">
        <f t="shared" si="1"/>
        <v>3000</v>
      </c>
      <c r="E52" s="31" t="str">
        <f t="shared" si="0"/>
        <v/>
      </c>
      <c r="F52" s="26" t="s">
        <v>330</v>
      </c>
    </row>
    <row r="53" spans="1:6" x14ac:dyDescent="0.25">
      <c r="A53" s="42" t="s">
        <v>334</v>
      </c>
      <c r="B53" s="42"/>
      <c r="C53" s="44">
        <f>SUM(C45:C52)</f>
        <v>106012.2</v>
      </c>
      <c r="D53" s="44">
        <f>SUM(D45:D52)</f>
        <v>106012.2</v>
      </c>
      <c r="E53" s="44" t="str">
        <f t="shared" si="0"/>
        <v/>
      </c>
      <c r="F53" s="26" t="s">
        <v>413</v>
      </c>
    </row>
    <row r="54" spans="1:6" x14ac:dyDescent="0.25">
      <c r="A54" t="s">
        <v>336</v>
      </c>
      <c r="B54" s="31">
        <f>IFERROR(B53/B7,"")</f>
        <v>0</v>
      </c>
      <c r="C54" s="31">
        <f>IFERROR(C53/B7,"")</f>
        <v>10601.22</v>
      </c>
      <c r="D54" s="31">
        <f>IFERROR(D53/B7,"")</f>
        <v>10601.22</v>
      </c>
    </row>
    <row r="55" spans="1:6" x14ac:dyDescent="0.25">
      <c r="A55" t="s">
        <v>337</v>
      </c>
      <c r="B55" s="39" t="str">
        <f>IFERROR(B53/B41,"")</f>
        <v/>
      </c>
      <c r="C55" s="39">
        <f>IFERROR(C53/C41,"")</f>
        <v>0.33607296382242174</v>
      </c>
      <c r="D55" s="39">
        <f>IF(C37&gt;0,IFERROR(D53/C41,""),"")</f>
        <v>0.33607296382242174</v>
      </c>
    </row>
    <row r="56" spans="1:6" x14ac:dyDescent="0.25">
      <c r="A56" s="42" t="s">
        <v>18</v>
      </c>
      <c r="B56" s="47" t="str">
        <f>IF(ISNUMBER(B53),IF(D53&gt;B53*(1+Assumptions!$B$24),"OM EXPENSES LIGHT","OM expenses reasonable"),"OM expenses not published")</f>
        <v>OM expenses not published</v>
      </c>
    </row>
    <row r="58" spans="1:6" x14ac:dyDescent="0.25">
      <c r="A58" s="34" t="s">
        <v>338</v>
      </c>
      <c r="B58" s="35"/>
      <c r="C58" s="35"/>
      <c r="D58" s="35"/>
      <c r="E58" s="35"/>
      <c r="F58" s="35"/>
    </row>
    <row r="59" spans="1:6" x14ac:dyDescent="0.25">
      <c r="A59" s="45"/>
      <c r="B59" s="45" t="s">
        <v>305</v>
      </c>
      <c r="C59" s="45" t="s">
        <v>306</v>
      </c>
      <c r="D59" s="45"/>
      <c r="E59" s="45"/>
      <c r="F59" s="45" t="s">
        <v>307</v>
      </c>
    </row>
    <row r="60" spans="1:6" x14ac:dyDescent="0.25">
      <c r="A60" s="42" t="s">
        <v>339</v>
      </c>
      <c r="B60" s="44">
        <f>B22*B25</f>
        <v>186990</v>
      </c>
      <c r="C60" s="44">
        <f>IF(C37&gt;0,C41-D53,"")</f>
        <v>209431.8</v>
      </c>
      <c r="F60" s="26" t="s">
        <v>414</v>
      </c>
    </row>
    <row r="61" spans="1:6" x14ac:dyDescent="0.25">
      <c r="A61" s="42" t="s">
        <v>340</v>
      </c>
      <c r="B61" s="39">
        <f>IFERROR(B60/B22,"")</f>
        <v>5.4199999999999998E-2</v>
      </c>
      <c r="C61" s="39">
        <f>IF(C60="","",IFERROR(C60/B22,""))</f>
        <v>6.0704869565217388E-2</v>
      </c>
      <c r="F61" s="26" t="s">
        <v>341</v>
      </c>
    </row>
    <row r="62" spans="1:6" x14ac:dyDescent="0.25">
      <c r="A62" t="s">
        <v>342</v>
      </c>
      <c r="B62" s="40" t="str">
        <f>IFERROR(B22/B37,"")</f>
        <v/>
      </c>
      <c r="C62" s="40">
        <f>IF(C37&gt;0,IFERROR(B22/C37,""),"")</f>
        <v>10.608856088560886</v>
      </c>
    </row>
    <row r="63" spans="1:6" x14ac:dyDescent="0.25">
      <c r="A63" t="s">
        <v>343</v>
      </c>
      <c r="B63" s="31">
        <f>IFERROR(B60/B7,"")</f>
        <v>18699</v>
      </c>
      <c r="C63" s="31">
        <f>IF(C60="","",IFERROR(C60/B7,""))</f>
        <v>20943.18</v>
      </c>
    </row>
    <row r="65" spans="1:6" x14ac:dyDescent="0.25">
      <c r="A65" s="34" t="s">
        <v>344</v>
      </c>
      <c r="B65" s="35"/>
      <c r="C65" s="35"/>
      <c r="D65" s="35"/>
      <c r="E65" s="35"/>
      <c r="F65" s="35"/>
    </row>
    <row r="66" spans="1:6" x14ac:dyDescent="0.25">
      <c r="A66" t="s">
        <v>345</v>
      </c>
      <c r="B66" s="31">
        <f>IFERROR(B22*Assumptions!$B$20,"")</f>
        <v>2070000</v>
      </c>
    </row>
    <row r="67" spans="1:6" x14ac:dyDescent="0.25">
      <c r="A67" t="s">
        <v>346</v>
      </c>
      <c r="B67" s="31">
        <f>IF(C60="","",IFERROR(PV(Assumptions!$B$22/12,Assumptions!$B$23*12,-C60/Assumptions!$B$21/12),""))</f>
        <v>2267618.963759827</v>
      </c>
    </row>
    <row r="68" spans="1:6" x14ac:dyDescent="0.25">
      <c r="A68" s="42" t="s">
        <v>347</v>
      </c>
      <c r="B68" s="31">
        <f>IFERROR(MIN(B66,B67),"")</f>
        <v>2070000</v>
      </c>
    </row>
    <row r="69" spans="1:6" x14ac:dyDescent="0.25">
      <c r="A69" t="s">
        <v>348</v>
      </c>
      <c r="B69" s="31">
        <f>IFERROR(B22-B68,"")</f>
        <v>1380000</v>
      </c>
    </row>
    <row r="70" spans="1:6" x14ac:dyDescent="0.25">
      <c r="A70" t="s">
        <v>349</v>
      </c>
      <c r="B70" s="31">
        <f>IFERROR(-PMT(Assumptions!$B$22/12,Assumptions!$B$23*12,B68)*12,"")</f>
        <v>152944.15258591564</v>
      </c>
    </row>
    <row r="71" spans="1:6" x14ac:dyDescent="0.25">
      <c r="A71" t="s">
        <v>350</v>
      </c>
      <c r="B71" s="40">
        <f>IFERROR(C60/B70,"")</f>
        <v>1.3693351230433781</v>
      </c>
    </row>
    <row r="72" spans="1:6" x14ac:dyDescent="0.25">
      <c r="A72" t="s">
        <v>351</v>
      </c>
      <c r="B72" s="31">
        <f>IFERROR(C60-B70,"")</f>
        <v>56487.647414084349</v>
      </c>
    </row>
    <row r="73" spans="1:6" x14ac:dyDescent="0.25">
      <c r="A73" t="s">
        <v>352</v>
      </c>
      <c r="B73" s="39">
        <f>IFERROR(B72/B69,"")</f>
        <v>4.0933077836293005E-2</v>
      </c>
    </row>
    <row r="75" spans="1:6" x14ac:dyDescent="0.25">
      <c r="A75" s="26" t="s">
        <v>353</v>
      </c>
    </row>
  </sheetData>
  <hyperlinks>
    <hyperlink ref="A3" r:id="rId1" xr:uid="{00000000-0004-0000-1100-000000000000}"/>
  </hyperlinks>
  <pageMargins left="0.75" right="0.75" top="1" bottom="1" header="0.5" footer="0.5"/>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F76"/>
  <sheetViews>
    <sheetView showGridLines="0" workbookViewId="0">
      <pane ySplit="5" topLeftCell="A6" activePane="bottomLeft" state="frozen"/>
      <selection pane="bottomLeft"/>
    </sheetView>
  </sheetViews>
  <sheetFormatPr defaultRowHeight="15" x14ac:dyDescent="0.25"/>
  <cols>
    <col min="1" max="1" width="38" customWidth="1"/>
    <col min="2" max="5" width="16" customWidth="1"/>
    <col min="6" max="6" width="48" customWidth="1"/>
    <col min="7" max="7" width="12" customWidth="1"/>
  </cols>
  <sheetData>
    <row r="1" spans="1:3" ht="19.5" x14ac:dyDescent="0.3">
      <c r="A1" s="1" t="s">
        <v>122</v>
      </c>
    </row>
    <row r="2" spans="1:3" x14ac:dyDescent="0.25">
      <c r="A2" s="32" t="s">
        <v>391</v>
      </c>
    </row>
    <row r="3" spans="1:3" x14ac:dyDescent="0.25">
      <c r="A3" s="33" t="s">
        <v>271</v>
      </c>
      <c r="B3" s="26" t="s">
        <v>556</v>
      </c>
    </row>
    <row r="4" spans="1:3" x14ac:dyDescent="0.25">
      <c r="A4" s="53" t="s">
        <v>568</v>
      </c>
    </row>
    <row r="6" spans="1:3" x14ac:dyDescent="0.25">
      <c r="A6" s="34" t="s">
        <v>273</v>
      </c>
      <c r="B6" s="35"/>
      <c r="C6" s="35"/>
    </row>
    <row r="7" spans="1:3" x14ac:dyDescent="0.25">
      <c r="A7" t="s">
        <v>7</v>
      </c>
      <c r="B7" s="36">
        <v>20</v>
      </c>
    </row>
    <row r="8" spans="1:3" x14ac:dyDescent="0.25">
      <c r="A8" t="s">
        <v>274</v>
      </c>
      <c r="B8" s="36">
        <v>14556</v>
      </c>
    </row>
    <row r="9" spans="1:3" x14ac:dyDescent="0.25">
      <c r="A9" t="s">
        <v>10</v>
      </c>
      <c r="B9" s="36">
        <v>12632</v>
      </c>
    </row>
    <row r="10" spans="1:3" x14ac:dyDescent="0.25">
      <c r="A10" t="s">
        <v>275</v>
      </c>
      <c r="B10" s="37">
        <v>0.28999999999999998</v>
      </c>
    </row>
    <row r="11" spans="1:3" x14ac:dyDescent="0.25">
      <c r="A11" t="s">
        <v>8</v>
      </c>
      <c r="B11">
        <v>1957</v>
      </c>
    </row>
    <row r="12" spans="1:3" x14ac:dyDescent="0.25">
      <c r="A12" t="s">
        <v>276</v>
      </c>
      <c r="B12" t="s">
        <v>355</v>
      </c>
    </row>
    <row r="13" spans="1:3" x14ac:dyDescent="0.25">
      <c r="A13" t="s">
        <v>278</v>
      </c>
      <c r="B13" t="s">
        <v>415</v>
      </c>
    </row>
    <row r="14" spans="1:3" x14ac:dyDescent="0.25">
      <c r="A14" t="s">
        <v>280</v>
      </c>
    </row>
    <row r="15" spans="1:3" x14ac:dyDescent="0.25">
      <c r="A15" t="s">
        <v>281</v>
      </c>
      <c r="B15" t="s">
        <v>416</v>
      </c>
    </row>
    <row r="16" spans="1:3" x14ac:dyDescent="0.25">
      <c r="A16" t="s">
        <v>283</v>
      </c>
      <c r="B16" s="31">
        <v>3261097</v>
      </c>
    </row>
    <row r="17" spans="1:6" x14ac:dyDescent="0.25">
      <c r="A17" t="s">
        <v>284</v>
      </c>
      <c r="B17" t="s">
        <v>123</v>
      </c>
    </row>
    <row r="18" spans="1:6" x14ac:dyDescent="0.25">
      <c r="A18" t="s">
        <v>285</v>
      </c>
      <c r="B18" t="s">
        <v>124</v>
      </c>
    </row>
    <row r="19" spans="1:6" x14ac:dyDescent="0.25">
      <c r="A19" t="s">
        <v>286</v>
      </c>
      <c r="B19" t="s">
        <v>125</v>
      </c>
    </row>
    <row r="21" spans="1:6" x14ac:dyDescent="0.25">
      <c r="A21" s="34" t="s">
        <v>287</v>
      </c>
      <c r="B21" s="35"/>
      <c r="C21" s="35"/>
    </row>
    <row r="22" spans="1:6" x14ac:dyDescent="0.25">
      <c r="A22" t="s">
        <v>11</v>
      </c>
      <c r="B22" s="28">
        <v>4150000</v>
      </c>
    </row>
    <row r="23" spans="1:6" x14ac:dyDescent="0.25">
      <c r="A23" t="s">
        <v>288</v>
      </c>
      <c r="B23" s="31">
        <f>IFERROR(B22/B7,"")</f>
        <v>207500</v>
      </c>
    </row>
    <row r="24" spans="1:6" x14ac:dyDescent="0.25">
      <c r="A24" t="s">
        <v>289</v>
      </c>
      <c r="B24" s="38">
        <f>IFERROR(B22/B8,"")</f>
        <v>285.10579829623521</v>
      </c>
    </row>
    <row r="25" spans="1:6" x14ac:dyDescent="0.25">
      <c r="A25" t="s">
        <v>290</v>
      </c>
      <c r="B25" s="39">
        <v>5.3199999999999997E-2</v>
      </c>
    </row>
    <row r="26" spans="1:6" x14ac:dyDescent="0.25">
      <c r="A26" t="s">
        <v>291</v>
      </c>
      <c r="B26" s="40">
        <v>10.38</v>
      </c>
    </row>
    <row r="28" spans="1:6" x14ac:dyDescent="0.25">
      <c r="A28" s="34" t="s">
        <v>292</v>
      </c>
      <c r="B28" s="35"/>
      <c r="C28" s="35"/>
      <c r="D28" s="35"/>
      <c r="E28" s="35"/>
      <c r="F28" s="35"/>
    </row>
    <row r="29" spans="1:6" x14ac:dyDescent="0.25">
      <c r="A29" s="41" t="s">
        <v>293</v>
      </c>
      <c r="B29" s="41" t="s">
        <v>294</v>
      </c>
      <c r="C29" s="41" t="s">
        <v>295</v>
      </c>
      <c r="D29" s="41" t="s">
        <v>296</v>
      </c>
      <c r="E29" s="41" t="s">
        <v>297</v>
      </c>
      <c r="F29" s="41" t="s">
        <v>298</v>
      </c>
    </row>
    <row r="30" spans="1:6" x14ac:dyDescent="0.25">
      <c r="A30" t="s">
        <v>529</v>
      </c>
      <c r="B30" s="36">
        <v>4</v>
      </c>
      <c r="C30" s="56">
        <v>1194</v>
      </c>
      <c r="D30" s="51">
        <f>B30*C30</f>
        <v>4776</v>
      </c>
      <c r="E30" s="51">
        <f>D30*12</f>
        <v>57312</v>
      </c>
      <c r="F30" s="52" t="s">
        <v>553</v>
      </c>
    </row>
    <row r="31" spans="1:6" x14ac:dyDescent="0.25">
      <c r="A31" t="s">
        <v>530</v>
      </c>
      <c r="B31" s="36">
        <v>13</v>
      </c>
      <c r="C31" s="56">
        <v>1622</v>
      </c>
      <c r="D31" s="51">
        <f>B31*C31</f>
        <v>21086</v>
      </c>
      <c r="E31" s="51">
        <f>D31*12</f>
        <v>253032</v>
      </c>
      <c r="F31" s="52" t="s">
        <v>553</v>
      </c>
    </row>
    <row r="32" spans="1:6" x14ac:dyDescent="0.25">
      <c r="A32" t="s">
        <v>531</v>
      </c>
      <c r="B32" s="36">
        <v>2</v>
      </c>
      <c r="C32" s="56">
        <v>2545</v>
      </c>
      <c r="D32" s="51">
        <f>B32*C32</f>
        <v>5090</v>
      </c>
      <c r="E32" s="51">
        <f>D32*12</f>
        <v>61080</v>
      </c>
      <c r="F32" s="52" t="s">
        <v>553</v>
      </c>
    </row>
    <row r="33" spans="1:6" x14ac:dyDescent="0.25">
      <c r="A33" t="s">
        <v>532</v>
      </c>
      <c r="B33" s="36">
        <v>1</v>
      </c>
      <c r="C33" s="56">
        <v>2363</v>
      </c>
      <c r="D33" s="51">
        <f>B33*C33</f>
        <v>2363</v>
      </c>
      <c r="E33" s="51">
        <f>D33*12</f>
        <v>28356</v>
      </c>
      <c r="F33" s="52" t="s">
        <v>553</v>
      </c>
    </row>
    <row r="34" spans="1:6" x14ac:dyDescent="0.25">
      <c r="A34" s="42" t="s">
        <v>303</v>
      </c>
      <c r="B34" s="43">
        <f>SUM(B30:B33)</f>
        <v>20</v>
      </c>
      <c r="C34" s="44">
        <f>IFERROR(D34/B34,"")</f>
        <v>1665.75</v>
      </c>
      <c r="D34" s="44">
        <f>SUM(D30:D33)</f>
        <v>33315</v>
      </c>
      <c r="E34" s="44">
        <f>SUM(E30:E33)</f>
        <v>399780</v>
      </c>
    </row>
    <row r="36" spans="1:6" x14ac:dyDescent="0.25">
      <c r="A36" s="34" t="s">
        <v>304</v>
      </c>
      <c r="B36" s="35"/>
      <c r="C36" s="35"/>
      <c r="D36" s="35"/>
      <c r="E36" s="35"/>
      <c r="F36" s="35"/>
    </row>
    <row r="37" spans="1:6" x14ac:dyDescent="0.25">
      <c r="A37" s="45"/>
      <c r="B37" s="45" t="s">
        <v>305</v>
      </c>
      <c r="C37" s="45" t="s">
        <v>306</v>
      </c>
      <c r="D37" s="45"/>
      <c r="E37" s="45"/>
      <c r="F37" s="45" t="s">
        <v>307</v>
      </c>
    </row>
    <row r="38" spans="1:6" x14ac:dyDescent="0.25">
      <c r="A38" t="s">
        <v>308</v>
      </c>
      <c r="B38" s="51">
        <v>399722</v>
      </c>
      <c r="C38" s="31">
        <f>E34</f>
        <v>399780</v>
      </c>
      <c r="F38" s="26" t="s">
        <v>554</v>
      </c>
    </row>
    <row r="39" spans="1:6" x14ac:dyDescent="0.25">
      <c r="A39" t="s">
        <v>310</v>
      </c>
      <c r="B39" s="31">
        <v>3000</v>
      </c>
      <c r="C39" s="28">
        <v>3000</v>
      </c>
    </row>
    <row r="40" spans="1:6" x14ac:dyDescent="0.25">
      <c r="A40" s="42" t="s">
        <v>311</v>
      </c>
      <c r="B40" s="31">
        <f>B38+B39</f>
        <v>402722</v>
      </c>
      <c r="C40" s="31">
        <f>C38+C39</f>
        <v>402780</v>
      </c>
    </row>
    <row r="41" spans="1:6" x14ac:dyDescent="0.25">
      <c r="A41" t="s">
        <v>312</v>
      </c>
      <c r="B41" s="31">
        <f>-B38*0.02</f>
        <v>-7994.4400000000005</v>
      </c>
      <c r="C41" s="31">
        <f>-C38*Assumptions!$B$3</f>
        <v>-11993.4</v>
      </c>
      <c r="F41" s="26" t="s">
        <v>533</v>
      </c>
    </row>
    <row r="42" spans="1:6" x14ac:dyDescent="0.25">
      <c r="A42" s="42" t="s">
        <v>314</v>
      </c>
      <c r="B42" s="44">
        <f>B40+B41</f>
        <v>394727.56</v>
      </c>
      <c r="C42" s="44">
        <f>C40+C41</f>
        <v>390786.6</v>
      </c>
    </row>
    <row r="44" spans="1:6" x14ac:dyDescent="0.25">
      <c r="A44" s="34" t="s">
        <v>315</v>
      </c>
      <c r="B44" s="35"/>
      <c r="C44" s="35"/>
      <c r="D44" s="35"/>
      <c r="E44" s="35"/>
      <c r="F44" s="35"/>
    </row>
    <row r="45" spans="1:6" x14ac:dyDescent="0.25">
      <c r="A45" s="45" t="s">
        <v>316</v>
      </c>
      <c r="B45" s="45" t="s">
        <v>305</v>
      </c>
      <c r="C45" s="45" t="s">
        <v>317</v>
      </c>
      <c r="D45" s="45" t="s">
        <v>306</v>
      </c>
      <c r="E45" s="45" t="s">
        <v>318</v>
      </c>
      <c r="F45" s="45" t="s">
        <v>307</v>
      </c>
    </row>
    <row r="46" spans="1:6" x14ac:dyDescent="0.25">
      <c r="A46" t="s">
        <v>319</v>
      </c>
      <c r="B46" s="51">
        <v>48769</v>
      </c>
      <c r="C46" s="31">
        <f>B22*Assumptions!$B$18</f>
        <v>49800</v>
      </c>
      <c r="D46" s="46">
        <f>C46</f>
        <v>49800</v>
      </c>
      <c r="E46" s="31">
        <f t="shared" ref="E46:E54" si="0">IF(ISNUMBER(B46),D46-B46,"")</f>
        <v>1031</v>
      </c>
      <c r="F46" s="26" t="s">
        <v>394</v>
      </c>
    </row>
    <row r="47" spans="1:6" x14ac:dyDescent="0.25">
      <c r="A47" t="s">
        <v>321</v>
      </c>
      <c r="B47" s="51">
        <v>29521</v>
      </c>
      <c r="C47" s="31">
        <f>B7*Assumptions!$B$5+B8*Assumptions!$B$6</f>
        <v>18556</v>
      </c>
      <c r="D47" s="46">
        <f t="shared" ref="D47:D53" si="1">IF(ISNUMBER(B47),MAX(B47,C47),C47)</f>
        <v>29521</v>
      </c>
      <c r="E47" s="31">
        <f t="shared" si="0"/>
        <v>0</v>
      </c>
      <c r="F47" s="26" t="s">
        <v>322</v>
      </c>
    </row>
    <row r="48" spans="1:6" x14ac:dyDescent="0.25">
      <c r="A48" t="s">
        <v>323</v>
      </c>
      <c r="B48" s="51">
        <v>15989</v>
      </c>
      <c r="C48" s="31">
        <f>C42*Assumptions!$B$4</f>
        <v>19539.329999999998</v>
      </c>
      <c r="D48" s="46">
        <f t="shared" si="1"/>
        <v>19539.329999999998</v>
      </c>
      <c r="E48" s="31">
        <f t="shared" si="0"/>
        <v>3550.3299999999981</v>
      </c>
      <c r="F48" s="26" t="s">
        <v>324</v>
      </c>
    </row>
    <row r="49" spans="1:6" x14ac:dyDescent="0.25">
      <c r="A49" t="s">
        <v>325</v>
      </c>
      <c r="B49" s="51">
        <v>20000</v>
      </c>
      <c r="C49" s="31">
        <f>B7*Assumptions!$B$7</f>
        <v>24000</v>
      </c>
      <c r="D49" s="46">
        <f t="shared" si="1"/>
        <v>24000</v>
      </c>
      <c r="E49" s="31">
        <f t="shared" si="0"/>
        <v>4000</v>
      </c>
      <c r="F49" s="26" t="s">
        <v>326</v>
      </c>
    </row>
    <row r="50" spans="1:6" x14ac:dyDescent="0.25">
      <c r="A50" t="s">
        <v>327</v>
      </c>
      <c r="B50" s="51">
        <v>32789</v>
      </c>
      <c r="C50" s="31">
        <f>B7*Assumptions!$B$11</f>
        <v>32000</v>
      </c>
      <c r="D50" s="46">
        <f t="shared" si="1"/>
        <v>32789</v>
      </c>
      <c r="E50" s="31">
        <f t="shared" si="0"/>
        <v>0</v>
      </c>
      <c r="F50" s="26" t="s">
        <v>500</v>
      </c>
    </row>
    <row r="51" spans="1:6" x14ac:dyDescent="0.25">
      <c r="A51" t="s">
        <v>329</v>
      </c>
      <c r="B51" s="51">
        <v>6602</v>
      </c>
      <c r="C51" s="31">
        <f>B7*Assumptions!$B$12</f>
        <v>8000</v>
      </c>
      <c r="D51" s="46">
        <f t="shared" si="1"/>
        <v>8000</v>
      </c>
      <c r="E51" s="31">
        <f t="shared" si="0"/>
        <v>1398</v>
      </c>
      <c r="F51" s="26" t="s">
        <v>330</v>
      </c>
    </row>
    <row r="52" spans="1:6" x14ac:dyDescent="0.25">
      <c r="A52" t="s">
        <v>388</v>
      </c>
      <c r="B52" s="51">
        <v>20400</v>
      </c>
      <c r="C52" s="31">
        <f>B7*Assumptions!$B$13</f>
        <v>5000</v>
      </c>
      <c r="D52" s="46">
        <f t="shared" si="1"/>
        <v>20400</v>
      </c>
      <c r="E52" s="31">
        <f t="shared" si="0"/>
        <v>0</v>
      </c>
      <c r="F52" s="26" t="s">
        <v>534</v>
      </c>
    </row>
    <row r="53" spans="1:6" x14ac:dyDescent="0.25">
      <c r="A53" t="s">
        <v>333</v>
      </c>
      <c r="B53" s="51"/>
      <c r="C53" s="31">
        <f>B7*Assumptions!$B$14</f>
        <v>6000</v>
      </c>
      <c r="D53" s="46">
        <f t="shared" si="1"/>
        <v>6000</v>
      </c>
      <c r="E53" s="31" t="str">
        <f t="shared" si="0"/>
        <v/>
      </c>
      <c r="F53" s="26" t="s">
        <v>330</v>
      </c>
    </row>
    <row r="54" spans="1:6" x14ac:dyDescent="0.25">
      <c r="A54" s="42" t="s">
        <v>334</v>
      </c>
      <c r="B54" s="44">
        <f>SUM(B46:B53)</f>
        <v>174070</v>
      </c>
      <c r="C54" s="44">
        <f>SUM(C46:C53)</f>
        <v>162895.33000000002</v>
      </c>
      <c r="D54" s="44">
        <f>SUM(D46:D53)</f>
        <v>190049.33000000002</v>
      </c>
      <c r="E54" s="44">
        <f t="shared" si="0"/>
        <v>15979.330000000016</v>
      </c>
      <c r="F54" s="26" t="s">
        <v>559</v>
      </c>
    </row>
    <row r="55" spans="1:6" x14ac:dyDescent="0.25">
      <c r="A55" t="s">
        <v>336</v>
      </c>
      <c r="B55" s="31">
        <f>IFERROR(B54/B7,"")</f>
        <v>8703.5</v>
      </c>
      <c r="C55" s="31">
        <f>IFERROR(C54/B7,"")</f>
        <v>8144.7665000000006</v>
      </c>
      <c r="D55" s="31">
        <f>IFERROR(D54/B7,"")</f>
        <v>9502.4665000000005</v>
      </c>
    </row>
    <row r="56" spans="1:6" x14ac:dyDescent="0.25">
      <c r="A56" t="s">
        <v>337</v>
      </c>
      <c r="B56" s="39">
        <f>IFERROR(B54/B42,"")</f>
        <v>0.44098770301217377</v>
      </c>
      <c r="C56" s="39">
        <f>IFERROR(C54/C42,"")</f>
        <v>0.41683959992486957</v>
      </c>
      <c r="D56" s="39">
        <f>IF(C38&gt;0,IFERROR(D54/C42,""),"")</f>
        <v>0.48632509405389035</v>
      </c>
    </row>
    <row r="57" spans="1:6" x14ac:dyDescent="0.25">
      <c r="A57" s="42" t="s">
        <v>18</v>
      </c>
      <c r="B57" s="47" t="str">
        <f>IF(ISNUMBER(B54),IF(D54&gt;B54*(1+Assumptions!$B$24),"OM EXPENSES LIGHT","OM expenses reasonable"),"OM expenses not published")</f>
        <v>OM EXPENSES LIGHT</v>
      </c>
    </row>
    <row r="59" spans="1:6" x14ac:dyDescent="0.25">
      <c r="A59" s="34" t="s">
        <v>338</v>
      </c>
      <c r="B59" s="35"/>
      <c r="C59" s="35"/>
      <c r="D59" s="35"/>
      <c r="E59" s="35"/>
      <c r="F59" s="35"/>
    </row>
    <row r="60" spans="1:6" x14ac:dyDescent="0.25">
      <c r="A60" s="45"/>
      <c r="B60" s="45" t="s">
        <v>305</v>
      </c>
      <c r="C60" s="45" t="s">
        <v>306</v>
      </c>
      <c r="D60" s="45"/>
      <c r="E60" s="45"/>
      <c r="F60" s="45" t="s">
        <v>307</v>
      </c>
    </row>
    <row r="61" spans="1:6" x14ac:dyDescent="0.25">
      <c r="A61" s="42" t="s">
        <v>339</v>
      </c>
      <c r="B61" s="44">
        <f>B42-B54</f>
        <v>220657.56</v>
      </c>
      <c r="C61" s="44">
        <f>IF(C38&gt;0,C42-D54,"")</f>
        <v>200737.26999999996</v>
      </c>
      <c r="F61" t="s">
        <v>535</v>
      </c>
    </row>
    <row r="62" spans="1:6" x14ac:dyDescent="0.25">
      <c r="A62" s="42" t="s">
        <v>340</v>
      </c>
      <c r="B62" s="39">
        <f>IFERROR(B61/B22,"")</f>
        <v>5.3170496385542165E-2</v>
      </c>
      <c r="C62" s="39">
        <f>IF(C61="","",IFERROR(C61/B22,""))</f>
        <v>4.8370426506024085E-2</v>
      </c>
      <c r="F62" s="26" t="s">
        <v>341</v>
      </c>
    </row>
    <row r="63" spans="1:6" x14ac:dyDescent="0.25">
      <c r="A63" t="s">
        <v>342</v>
      </c>
      <c r="B63" s="40">
        <f>IFERROR(B22/B38,"")</f>
        <v>10.38221563986971</v>
      </c>
      <c r="C63" s="40">
        <f>IF(C38&gt;0,IFERROR(B22/C38,""),"")</f>
        <v>10.38070939016459</v>
      </c>
    </row>
    <row r="64" spans="1:6" x14ac:dyDescent="0.25">
      <c r="A64" t="s">
        <v>343</v>
      </c>
      <c r="B64" s="31">
        <f>IFERROR(B61/B7,"")</f>
        <v>11032.878000000001</v>
      </c>
      <c r="C64" s="31">
        <f>IF(C61="","",IFERROR(C61/B7,""))</f>
        <v>10036.863499999998</v>
      </c>
    </row>
    <row r="66" spans="1:6" x14ac:dyDescent="0.25">
      <c r="A66" s="34" t="s">
        <v>344</v>
      </c>
      <c r="B66" s="35"/>
      <c r="C66" s="35"/>
      <c r="D66" s="35"/>
      <c r="E66" s="35"/>
      <c r="F66" s="35"/>
    </row>
    <row r="67" spans="1:6" x14ac:dyDescent="0.25">
      <c r="A67" t="s">
        <v>345</v>
      </c>
      <c r="B67" s="31">
        <f>IFERROR(B22*Assumptions!$B$20,"")</f>
        <v>2490000</v>
      </c>
    </row>
    <row r="68" spans="1:6" x14ac:dyDescent="0.25">
      <c r="A68" t="s">
        <v>346</v>
      </c>
      <c r="B68" s="31">
        <f>IF(C61="","",IFERROR(PV(Assumptions!$B$22/12,Assumptions!$B$23*12,-C61/Assumptions!$B$21/12),""))</f>
        <v>2173479.1000477313</v>
      </c>
    </row>
    <row r="69" spans="1:6" x14ac:dyDescent="0.25">
      <c r="A69" s="42" t="s">
        <v>347</v>
      </c>
      <c r="B69" s="31">
        <f>IFERROR(MIN(B67,B68),"")</f>
        <v>2173479.1000477313</v>
      </c>
    </row>
    <row r="70" spans="1:6" x14ac:dyDescent="0.25">
      <c r="A70" t="s">
        <v>348</v>
      </c>
      <c r="B70" s="31">
        <f>IFERROR(B22-B69,"")</f>
        <v>1976520.8999522687</v>
      </c>
    </row>
    <row r="71" spans="1:6" x14ac:dyDescent="0.25">
      <c r="A71" t="s">
        <v>349</v>
      </c>
      <c r="B71" s="31">
        <f>IFERROR(-PMT(Assumptions!$B$22/12,Assumptions!$B$23*12,B69)*12,"")</f>
        <v>160589.81599999947</v>
      </c>
    </row>
    <row r="72" spans="1:6" x14ac:dyDescent="0.25">
      <c r="A72" t="s">
        <v>350</v>
      </c>
      <c r="B72" s="40">
        <f>IFERROR(C61/B71,"")</f>
        <v>1.250000000000004</v>
      </c>
    </row>
    <row r="73" spans="1:6" x14ac:dyDescent="0.25">
      <c r="A73" t="s">
        <v>351</v>
      </c>
      <c r="B73" s="31">
        <f>IFERROR(C61-B71,"")</f>
        <v>40147.454000000493</v>
      </c>
    </row>
    <row r="74" spans="1:6" x14ac:dyDescent="0.25">
      <c r="A74" t="s">
        <v>352</v>
      </c>
      <c r="B74" s="39">
        <f>IFERROR(B73/B70,"")</f>
        <v>2.0312182887097231E-2</v>
      </c>
    </row>
    <row r="76" spans="1:6" x14ac:dyDescent="0.25">
      <c r="A76" s="26" t="s">
        <v>353</v>
      </c>
    </row>
  </sheetData>
  <hyperlinks>
    <hyperlink ref="A3" r:id="rId1" xr:uid="{00000000-0004-0000-1200-000000000000}"/>
  </hyperlinks>
  <pageMargins left="0.75" right="0.75" top="1" bottom="1" header="0.5" footer="0.5"/>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F74"/>
  <sheetViews>
    <sheetView showGridLines="0" workbookViewId="0">
      <pane ySplit="5" topLeftCell="A6" activePane="bottomLeft" state="frozen"/>
      <selection pane="bottomLeft"/>
    </sheetView>
  </sheetViews>
  <sheetFormatPr defaultRowHeight="15" x14ac:dyDescent="0.25"/>
  <cols>
    <col min="1" max="1" width="38" customWidth="1"/>
    <col min="2" max="5" width="16" customWidth="1"/>
    <col min="6" max="6" width="48" customWidth="1"/>
    <col min="7" max="7" width="12" customWidth="1"/>
  </cols>
  <sheetData>
    <row r="1" spans="1:3" ht="19.5" x14ac:dyDescent="0.3">
      <c r="A1" s="1" t="s">
        <v>127</v>
      </c>
    </row>
    <row r="2" spans="1:3" x14ac:dyDescent="0.25">
      <c r="A2" s="32" t="s">
        <v>418</v>
      </c>
    </row>
    <row r="3" spans="1:3" x14ac:dyDescent="0.25">
      <c r="A3" s="33" t="s">
        <v>271</v>
      </c>
      <c r="B3" s="26" t="s">
        <v>272</v>
      </c>
    </row>
    <row r="6" spans="1:3" x14ac:dyDescent="0.25">
      <c r="A6" s="34" t="s">
        <v>273</v>
      </c>
      <c r="B6" s="35"/>
      <c r="C6" s="35"/>
    </row>
    <row r="7" spans="1:3" x14ac:dyDescent="0.25">
      <c r="A7" t="s">
        <v>7</v>
      </c>
      <c r="B7" s="36">
        <v>10</v>
      </c>
    </row>
    <row r="8" spans="1:3" x14ac:dyDescent="0.25">
      <c r="A8" t="s">
        <v>274</v>
      </c>
      <c r="B8" s="36">
        <v>7129</v>
      </c>
    </row>
    <row r="9" spans="1:3" x14ac:dyDescent="0.25">
      <c r="A9" t="s">
        <v>10</v>
      </c>
      <c r="B9" s="36">
        <v>7841</v>
      </c>
    </row>
    <row r="10" spans="1:3" x14ac:dyDescent="0.25">
      <c r="A10" t="s">
        <v>275</v>
      </c>
      <c r="B10" s="37">
        <v>0.18</v>
      </c>
    </row>
    <row r="11" spans="1:3" x14ac:dyDescent="0.25">
      <c r="A11" t="s">
        <v>8</v>
      </c>
      <c r="B11">
        <v>1954</v>
      </c>
    </row>
    <row r="12" spans="1:3" x14ac:dyDescent="0.25">
      <c r="A12" t="s">
        <v>276</v>
      </c>
      <c r="B12" t="s">
        <v>355</v>
      </c>
    </row>
    <row r="13" spans="1:3" x14ac:dyDescent="0.25">
      <c r="A13" t="s">
        <v>278</v>
      </c>
      <c r="B13" t="s">
        <v>368</v>
      </c>
    </row>
    <row r="14" spans="1:3" x14ac:dyDescent="0.25">
      <c r="A14" t="s">
        <v>280</v>
      </c>
      <c r="B14" t="s">
        <v>101</v>
      </c>
    </row>
    <row r="15" spans="1:3" x14ac:dyDescent="0.25">
      <c r="A15" t="s">
        <v>281</v>
      </c>
      <c r="B15" t="s">
        <v>419</v>
      </c>
    </row>
    <row r="16" spans="1:3" x14ac:dyDescent="0.25">
      <c r="A16" t="s">
        <v>283</v>
      </c>
      <c r="B16" s="31">
        <v>1064033</v>
      </c>
    </row>
    <row r="17" spans="1:6" x14ac:dyDescent="0.25">
      <c r="A17" t="s">
        <v>284</v>
      </c>
      <c r="B17" t="s">
        <v>130</v>
      </c>
    </row>
    <row r="18" spans="1:6" x14ac:dyDescent="0.25">
      <c r="A18" t="s">
        <v>285</v>
      </c>
      <c r="B18" t="s">
        <v>131</v>
      </c>
    </row>
    <row r="19" spans="1:6" x14ac:dyDescent="0.25">
      <c r="A19" t="s">
        <v>286</v>
      </c>
      <c r="B19" t="s">
        <v>37</v>
      </c>
    </row>
    <row r="21" spans="1:6" x14ac:dyDescent="0.25">
      <c r="A21" s="34" t="s">
        <v>287</v>
      </c>
      <c r="B21" s="35"/>
      <c r="C21" s="35"/>
    </row>
    <row r="22" spans="1:6" x14ac:dyDescent="0.25">
      <c r="A22" t="s">
        <v>11</v>
      </c>
      <c r="B22" s="28">
        <v>2795000</v>
      </c>
    </row>
    <row r="23" spans="1:6" x14ac:dyDescent="0.25">
      <c r="A23" t="s">
        <v>288</v>
      </c>
      <c r="B23" s="31">
        <f>IFERROR(B22/B7,"")</f>
        <v>279500</v>
      </c>
    </row>
    <row r="24" spans="1:6" x14ac:dyDescent="0.25">
      <c r="A24" t="s">
        <v>289</v>
      </c>
      <c r="B24" s="38">
        <f>IFERROR(B22/B8,"")</f>
        <v>392.06059755926498</v>
      </c>
    </row>
    <row r="25" spans="1:6" x14ac:dyDescent="0.25">
      <c r="A25" t="s">
        <v>290</v>
      </c>
      <c r="B25" s="39">
        <v>5.2999999999999999E-2</v>
      </c>
    </row>
    <row r="26" spans="1:6" x14ac:dyDescent="0.25">
      <c r="A26" t="s">
        <v>291</v>
      </c>
      <c r="B26" s="40">
        <v>12.3</v>
      </c>
    </row>
    <row r="28" spans="1:6" x14ac:dyDescent="0.25">
      <c r="A28" s="34" t="s">
        <v>292</v>
      </c>
      <c r="B28" s="35"/>
      <c r="C28" s="35"/>
      <c r="D28" s="35"/>
      <c r="E28" s="35"/>
      <c r="F28" s="35"/>
    </row>
    <row r="29" spans="1:6" x14ac:dyDescent="0.25">
      <c r="A29" s="41" t="s">
        <v>293</v>
      </c>
      <c r="B29" s="41" t="s">
        <v>294</v>
      </c>
      <c r="C29" s="41" t="s">
        <v>295</v>
      </c>
      <c r="D29" s="41" t="s">
        <v>296</v>
      </c>
      <c r="E29" s="41" t="s">
        <v>297</v>
      </c>
      <c r="F29" s="41" t="s">
        <v>298</v>
      </c>
    </row>
    <row r="30" spans="1:6" x14ac:dyDescent="0.25">
      <c r="A30" t="s">
        <v>302</v>
      </c>
      <c r="B30" s="36">
        <v>7</v>
      </c>
      <c r="C30" s="28">
        <v>1885</v>
      </c>
      <c r="D30" s="31">
        <f>B30*C30</f>
        <v>13195</v>
      </c>
      <c r="E30" s="31">
        <f>D30*12</f>
        <v>158340</v>
      </c>
      <c r="F30" s="26" t="s">
        <v>38</v>
      </c>
    </row>
    <row r="31" spans="1:6" x14ac:dyDescent="0.25">
      <c r="A31" t="s">
        <v>301</v>
      </c>
      <c r="B31" s="36">
        <v>3</v>
      </c>
      <c r="C31" s="28">
        <v>1910</v>
      </c>
      <c r="D31" s="31">
        <f>B31*C31</f>
        <v>5730</v>
      </c>
      <c r="E31" s="31">
        <f>D31*12</f>
        <v>68760</v>
      </c>
      <c r="F31" s="26" t="s">
        <v>38</v>
      </c>
    </row>
    <row r="32" spans="1:6" x14ac:dyDescent="0.25">
      <c r="A32" s="42" t="s">
        <v>303</v>
      </c>
      <c r="B32" s="43">
        <f>SUM(B30:B31)</f>
        <v>10</v>
      </c>
      <c r="C32" s="44">
        <f>IFERROR(D32/B32,"")</f>
        <v>1892.5</v>
      </c>
      <c r="D32" s="44">
        <f>SUM(D30:D31)</f>
        <v>18925</v>
      </c>
      <c r="E32" s="44">
        <f>SUM(E30:E31)</f>
        <v>227100</v>
      </c>
    </row>
    <row r="34" spans="1:6" x14ac:dyDescent="0.25">
      <c r="A34" s="34" t="s">
        <v>304</v>
      </c>
      <c r="B34" s="35"/>
      <c r="C34" s="35"/>
      <c r="D34" s="35"/>
      <c r="E34" s="35"/>
      <c r="F34" s="35"/>
    </row>
    <row r="35" spans="1:6" x14ac:dyDescent="0.25">
      <c r="A35" s="45"/>
      <c r="B35" s="45" t="s">
        <v>305</v>
      </c>
      <c r="C35" s="45" t="s">
        <v>306</v>
      </c>
      <c r="D35" s="45"/>
      <c r="E35" s="45"/>
      <c r="F35" s="45" t="s">
        <v>307</v>
      </c>
    </row>
    <row r="36" spans="1:6" x14ac:dyDescent="0.25">
      <c r="A36" t="s">
        <v>308</v>
      </c>
      <c r="B36" s="31">
        <v>227235.77235772359</v>
      </c>
      <c r="C36" s="31">
        <f>E32</f>
        <v>227100</v>
      </c>
      <c r="F36" s="26" t="s">
        <v>309</v>
      </c>
    </row>
    <row r="37" spans="1:6" x14ac:dyDescent="0.25">
      <c r="A37" t="s">
        <v>310</v>
      </c>
      <c r="B37" s="31">
        <v>0</v>
      </c>
      <c r="C37" s="28">
        <v>0</v>
      </c>
    </row>
    <row r="38" spans="1:6" x14ac:dyDescent="0.25">
      <c r="A38" s="42" t="s">
        <v>311</v>
      </c>
      <c r="B38" s="31">
        <f>B36+B37</f>
        <v>227235.77235772359</v>
      </c>
      <c r="C38" s="31">
        <f>C36+C37</f>
        <v>227100</v>
      </c>
    </row>
    <row r="39" spans="1:6" x14ac:dyDescent="0.25">
      <c r="A39" t="s">
        <v>312</v>
      </c>
      <c r="B39" s="31">
        <f>-B36*0.03</f>
        <v>-6817.0731707317073</v>
      </c>
      <c r="C39" s="31">
        <f>-C36*Assumptions!$B$3</f>
        <v>-6813</v>
      </c>
      <c r="F39" s="26" t="s">
        <v>313</v>
      </c>
    </row>
    <row r="40" spans="1:6" x14ac:dyDescent="0.25">
      <c r="A40" s="42" t="s">
        <v>314</v>
      </c>
      <c r="B40" s="44">
        <f>B38+B39</f>
        <v>220418.69918699187</v>
      </c>
      <c r="C40" s="44">
        <f>C38+C39</f>
        <v>220287</v>
      </c>
    </row>
    <row r="42" spans="1:6" x14ac:dyDescent="0.25">
      <c r="A42" s="34" t="s">
        <v>315</v>
      </c>
      <c r="B42" s="35"/>
      <c r="C42" s="35"/>
      <c r="D42" s="35"/>
      <c r="E42" s="35"/>
      <c r="F42" s="35"/>
    </row>
    <row r="43" spans="1:6" x14ac:dyDescent="0.25">
      <c r="A43" s="45" t="s">
        <v>316</v>
      </c>
      <c r="B43" s="45" t="s">
        <v>305</v>
      </c>
      <c r="C43" s="45" t="s">
        <v>317</v>
      </c>
      <c r="D43" s="45" t="s">
        <v>306</v>
      </c>
      <c r="E43" s="45" t="s">
        <v>318</v>
      </c>
      <c r="F43" s="45" t="s">
        <v>307</v>
      </c>
    </row>
    <row r="44" spans="1:6" x14ac:dyDescent="0.25">
      <c r="A44" t="s">
        <v>319</v>
      </c>
      <c r="B44" s="31"/>
      <c r="C44" s="31">
        <f>B22*Assumptions!$B$15</f>
        <v>34937.5</v>
      </c>
      <c r="D44" s="46">
        <f>C44</f>
        <v>34937.5</v>
      </c>
      <c r="E44" s="31" t="str">
        <f t="shared" ref="E44:E52" si="0">IF(ISNUMBER(B44),D44-B44,"")</f>
        <v/>
      </c>
      <c r="F44" s="26" t="s">
        <v>358</v>
      </c>
    </row>
    <row r="45" spans="1:6" x14ac:dyDescent="0.25">
      <c r="A45" t="s">
        <v>321</v>
      </c>
      <c r="B45" s="31"/>
      <c r="C45" s="31">
        <f>B7*Assumptions!$B$5+B8*Assumptions!$B$6</f>
        <v>9129</v>
      </c>
      <c r="D45" s="46">
        <f t="shared" ref="D45:D51" si="1">IF(ISNUMBER(B45),MAX(B45,C45),C45)</f>
        <v>9129</v>
      </c>
      <c r="E45" s="31" t="str">
        <f t="shared" si="0"/>
        <v/>
      </c>
      <c r="F45" s="26" t="s">
        <v>322</v>
      </c>
    </row>
    <row r="46" spans="1:6" x14ac:dyDescent="0.25">
      <c r="A46" t="s">
        <v>323</v>
      </c>
      <c r="B46" s="31"/>
      <c r="C46" s="31">
        <f>C40*Assumptions!$B$4</f>
        <v>11014.35</v>
      </c>
      <c r="D46" s="46">
        <f t="shared" si="1"/>
        <v>11014.35</v>
      </c>
      <c r="E46" s="31" t="str">
        <f t="shared" si="0"/>
        <v/>
      </c>
      <c r="F46" s="26" t="s">
        <v>324</v>
      </c>
    </row>
    <row r="47" spans="1:6" x14ac:dyDescent="0.25">
      <c r="A47" t="s">
        <v>325</v>
      </c>
      <c r="B47" s="31"/>
      <c r="C47" s="31">
        <f>B7*Assumptions!$B$7</f>
        <v>12000</v>
      </c>
      <c r="D47" s="46">
        <f t="shared" si="1"/>
        <v>12000</v>
      </c>
      <c r="E47" s="31" t="str">
        <f t="shared" si="0"/>
        <v/>
      </c>
      <c r="F47" s="26" t="s">
        <v>326</v>
      </c>
    </row>
    <row r="48" spans="1:6" x14ac:dyDescent="0.25">
      <c r="A48" t="s">
        <v>327</v>
      </c>
      <c r="B48" s="31"/>
      <c r="C48" s="31">
        <f>B7*Assumptions!$B$9</f>
        <v>15000</v>
      </c>
      <c r="D48" s="46">
        <f t="shared" si="1"/>
        <v>15000</v>
      </c>
      <c r="E48" s="31" t="str">
        <f t="shared" si="0"/>
        <v/>
      </c>
      <c r="F48" s="26" t="s">
        <v>328</v>
      </c>
    </row>
    <row r="49" spans="1:6" x14ac:dyDescent="0.25">
      <c r="A49" t="s">
        <v>329</v>
      </c>
      <c r="B49" s="31"/>
      <c r="C49" s="31">
        <f>B7*Assumptions!$B$12</f>
        <v>4000</v>
      </c>
      <c r="D49" s="46">
        <f t="shared" si="1"/>
        <v>4000</v>
      </c>
      <c r="E49" s="31" t="str">
        <f t="shared" si="0"/>
        <v/>
      </c>
      <c r="F49" s="26" t="s">
        <v>330</v>
      </c>
    </row>
    <row r="50" spans="1:6" x14ac:dyDescent="0.25">
      <c r="A50" t="s">
        <v>331</v>
      </c>
      <c r="B50" s="31"/>
      <c r="C50" s="31">
        <f>B7*Assumptions!$B$13</f>
        <v>2500</v>
      </c>
      <c r="D50" s="46">
        <f t="shared" si="1"/>
        <v>2500</v>
      </c>
      <c r="E50" s="31" t="str">
        <f t="shared" si="0"/>
        <v/>
      </c>
      <c r="F50" s="26" t="s">
        <v>332</v>
      </c>
    </row>
    <row r="51" spans="1:6" x14ac:dyDescent="0.25">
      <c r="A51" t="s">
        <v>333</v>
      </c>
      <c r="B51" s="31"/>
      <c r="C51" s="31">
        <f>B7*Assumptions!$B$14</f>
        <v>3000</v>
      </c>
      <c r="D51" s="46">
        <f t="shared" si="1"/>
        <v>3000</v>
      </c>
      <c r="E51" s="31" t="str">
        <f t="shared" si="0"/>
        <v/>
      </c>
      <c r="F51" s="26" t="s">
        <v>330</v>
      </c>
    </row>
    <row r="52" spans="1:6" x14ac:dyDescent="0.25">
      <c r="A52" s="42" t="s">
        <v>334</v>
      </c>
      <c r="B52" s="44">
        <f>B40-B22*B25</f>
        <v>72283.699186991871</v>
      </c>
      <c r="C52" s="44">
        <f>SUM(C44:C51)</f>
        <v>91580.85</v>
      </c>
      <c r="D52" s="44">
        <f>SUM(D44:D51)</f>
        <v>91580.85</v>
      </c>
      <c r="E52" s="44">
        <f t="shared" si="0"/>
        <v>19297.150813008135</v>
      </c>
      <c r="F52" s="26" t="s">
        <v>335</v>
      </c>
    </row>
    <row r="53" spans="1:6" x14ac:dyDescent="0.25">
      <c r="A53" t="s">
        <v>336</v>
      </c>
      <c r="B53" s="31">
        <f>IFERROR(B52/B7,"")</f>
        <v>7228.3699186991871</v>
      </c>
      <c r="C53" s="31">
        <f>IFERROR(C52/B7,"")</f>
        <v>9158.0850000000009</v>
      </c>
      <c r="D53" s="31">
        <f>IFERROR(D52/B7,"")</f>
        <v>9158.0850000000009</v>
      </c>
    </row>
    <row r="54" spans="1:6" x14ac:dyDescent="0.25">
      <c r="A54" t="s">
        <v>337</v>
      </c>
      <c r="B54" s="39">
        <f>IFERROR(B52/B40,"")</f>
        <v>0.32793814432989693</v>
      </c>
      <c r="C54" s="39">
        <f>IFERROR(C52/C40,"")</f>
        <v>0.41573424668727615</v>
      </c>
      <c r="D54" s="39">
        <f>IF(C36&gt;0,IFERROR(D52/C40,""),"")</f>
        <v>0.41573424668727615</v>
      </c>
    </row>
    <row r="55" spans="1:6" x14ac:dyDescent="0.25">
      <c r="A55" s="42" t="s">
        <v>18</v>
      </c>
      <c r="B55" s="47" t="str">
        <f>IF(ISNUMBER(B52),IF(D52&gt;B52*(1+Assumptions!$B$24),"OM EXPENSES LIGHT","OM expenses reasonable"),"OM expenses not published")</f>
        <v>OM EXPENSES LIGHT</v>
      </c>
    </row>
    <row r="57" spans="1:6" x14ac:dyDescent="0.25">
      <c r="A57" s="34" t="s">
        <v>338</v>
      </c>
      <c r="B57" s="35"/>
      <c r="C57" s="35"/>
      <c r="D57" s="35"/>
      <c r="E57" s="35"/>
      <c r="F57" s="35"/>
    </row>
    <row r="58" spans="1:6" x14ac:dyDescent="0.25">
      <c r="A58" s="45"/>
      <c r="B58" s="45" t="s">
        <v>305</v>
      </c>
      <c r="C58" s="45" t="s">
        <v>306</v>
      </c>
      <c r="D58" s="45"/>
      <c r="E58" s="45"/>
      <c r="F58" s="45" t="s">
        <v>307</v>
      </c>
    </row>
    <row r="59" spans="1:6" x14ac:dyDescent="0.25">
      <c r="A59" s="42" t="s">
        <v>339</v>
      </c>
      <c r="B59" s="44">
        <f>B40-B52</f>
        <v>148135</v>
      </c>
      <c r="C59" s="44">
        <f>IF(C36&gt;0,C40-D52,"")</f>
        <v>128706.15</v>
      </c>
    </row>
    <row r="60" spans="1:6" x14ac:dyDescent="0.25">
      <c r="A60" s="42" t="s">
        <v>340</v>
      </c>
      <c r="B60" s="39">
        <f>IFERROR(B59/B22,"")</f>
        <v>5.2999999999999999E-2</v>
      </c>
      <c r="C60" s="39">
        <f>IF(C59="","",IFERROR(C59/B22,""))</f>
        <v>4.6048711985688731E-2</v>
      </c>
      <c r="F60" s="26" t="s">
        <v>341</v>
      </c>
    </row>
    <row r="61" spans="1:6" x14ac:dyDescent="0.25">
      <c r="A61" t="s">
        <v>342</v>
      </c>
      <c r="B61" s="40">
        <f>IFERROR(B22/B36,"")</f>
        <v>12.299999999999999</v>
      </c>
      <c r="C61" s="40">
        <f>IF(C36&gt;0,IFERROR(B22/C36,""),"")</f>
        <v>12.307353588727432</v>
      </c>
    </row>
    <row r="62" spans="1:6" x14ac:dyDescent="0.25">
      <c r="A62" t="s">
        <v>343</v>
      </c>
      <c r="B62" s="31">
        <f>IFERROR(B59/B7,"")</f>
        <v>14813.5</v>
      </c>
      <c r="C62" s="31">
        <f>IF(C59="","",IFERROR(C59/B7,""))</f>
        <v>12870.615</v>
      </c>
    </row>
    <row r="64" spans="1:6" x14ac:dyDescent="0.25">
      <c r="A64" s="34" t="s">
        <v>344</v>
      </c>
      <c r="B64" s="35"/>
      <c r="C64" s="35"/>
      <c r="D64" s="35"/>
      <c r="E64" s="35"/>
      <c r="F64" s="35"/>
    </row>
    <row r="65" spans="1:2" x14ac:dyDescent="0.25">
      <c r="A65" t="s">
        <v>345</v>
      </c>
      <c r="B65" s="31">
        <f>IFERROR(B22*Assumptions!$B$20,"")</f>
        <v>1677000</v>
      </c>
    </row>
    <row r="66" spans="1:2" x14ac:dyDescent="0.25">
      <c r="A66" t="s">
        <v>346</v>
      </c>
      <c r="B66" s="31">
        <f>IF(C59="","",IFERROR(PV(Assumptions!$B$22/12,Assumptions!$B$23*12,-C59/Assumptions!$B$21/12),""))</f>
        <v>1393563.4726556176</v>
      </c>
    </row>
    <row r="67" spans="1:2" x14ac:dyDescent="0.25">
      <c r="A67" s="42" t="s">
        <v>347</v>
      </c>
      <c r="B67" s="31">
        <f>IFERROR(MIN(B65,B66),"")</f>
        <v>1393563.4726556176</v>
      </c>
    </row>
    <row r="68" spans="1:2" x14ac:dyDescent="0.25">
      <c r="A68" t="s">
        <v>348</v>
      </c>
      <c r="B68" s="31">
        <f>IFERROR(B22-B67,"")</f>
        <v>1401436.5273443824</v>
      </c>
    </row>
    <row r="69" spans="1:2" x14ac:dyDescent="0.25">
      <c r="A69" t="s">
        <v>349</v>
      </c>
      <c r="B69" s="31">
        <f>IFERROR(-PMT(Assumptions!$B$22/12,Assumptions!$B$23*12,B67)*12,"")</f>
        <v>102964.91999999965</v>
      </c>
    </row>
    <row r="70" spans="1:2" x14ac:dyDescent="0.25">
      <c r="A70" t="s">
        <v>350</v>
      </c>
      <c r="B70" s="40">
        <f>IFERROR(C59/B69,"")</f>
        <v>1.2500000000000042</v>
      </c>
    </row>
    <row r="71" spans="1:2" x14ac:dyDescent="0.25">
      <c r="A71" t="s">
        <v>351</v>
      </c>
      <c r="B71" s="31">
        <f>IFERROR(C59-B69,"")</f>
        <v>25741.230000000345</v>
      </c>
    </row>
    <row r="72" spans="1:2" x14ac:dyDescent="0.25">
      <c r="A72" t="s">
        <v>352</v>
      </c>
      <c r="B72" s="39">
        <f>IFERROR(B71/B68,"")</f>
        <v>1.8367745879135929E-2</v>
      </c>
    </row>
    <row r="74" spans="1:2" x14ac:dyDescent="0.25">
      <c r="A74" s="26" t="s">
        <v>353</v>
      </c>
    </row>
  </sheetData>
  <hyperlinks>
    <hyperlink ref="A3" r:id="rId1" xr:uid="{00000000-0004-0000-1300-000000000000}"/>
  </hyperlinks>
  <pageMargins left="0.75" right="0.75" top="1" bottom="1" header="0.5" footer="0.5"/>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F75"/>
  <sheetViews>
    <sheetView showGridLines="0" workbookViewId="0">
      <pane ySplit="5" topLeftCell="A6" activePane="bottomLeft" state="frozen"/>
      <selection pane="bottomLeft"/>
    </sheetView>
  </sheetViews>
  <sheetFormatPr defaultRowHeight="15" x14ac:dyDescent="0.25"/>
  <cols>
    <col min="1" max="1" width="38" customWidth="1"/>
    <col min="2" max="5" width="16" customWidth="1"/>
    <col min="6" max="6" width="48" customWidth="1"/>
    <col min="7" max="7" width="12" customWidth="1"/>
  </cols>
  <sheetData>
    <row r="1" spans="1:3" ht="19.5" x14ac:dyDescent="0.3">
      <c r="A1" s="1" t="s">
        <v>132</v>
      </c>
    </row>
    <row r="2" spans="1:3" x14ac:dyDescent="0.25">
      <c r="A2" s="32" t="s">
        <v>391</v>
      </c>
    </row>
    <row r="3" spans="1:3" x14ac:dyDescent="0.25">
      <c r="A3" s="33" t="s">
        <v>271</v>
      </c>
      <c r="B3" s="26" t="s">
        <v>272</v>
      </c>
    </row>
    <row r="6" spans="1:3" x14ac:dyDescent="0.25">
      <c r="A6" s="34" t="s">
        <v>273</v>
      </c>
      <c r="B6" s="35"/>
      <c r="C6" s="35"/>
    </row>
    <row r="7" spans="1:3" x14ac:dyDescent="0.25">
      <c r="A7" t="s">
        <v>7</v>
      </c>
      <c r="B7" s="36">
        <v>10</v>
      </c>
    </row>
    <row r="8" spans="1:3" x14ac:dyDescent="0.25">
      <c r="A8" t="s">
        <v>274</v>
      </c>
      <c r="B8" s="36">
        <v>7747</v>
      </c>
    </row>
    <row r="9" spans="1:3" x14ac:dyDescent="0.25">
      <c r="A9" t="s">
        <v>10</v>
      </c>
      <c r="B9" s="36">
        <v>7405</v>
      </c>
    </row>
    <row r="10" spans="1:3" x14ac:dyDescent="0.25">
      <c r="A10" t="s">
        <v>275</v>
      </c>
      <c r="B10" s="37">
        <v>0.17</v>
      </c>
    </row>
    <row r="11" spans="1:3" x14ac:dyDescent="0.25">
      <c r="A11" t="s">
        <v>8</v>
      </c>
      <c r="B11">
        <v>1955</v>
      </c>
    </row>
    <row r="12" spans="1:3" x14ac:dyDescent="0.25">
      <c r="A12" t="s">
        <v>276</v>
      </c>
      <c r="B12" t="s">
        <v>355</v>
      </c>
    </row>
    <row r="13" spans="1:3" x14ac:dyDescent="0.25">
      <c r="A13" t="s">
        <v>278</v>
      </c>
      <c r="B13" t="s">
        <v>420</v>
      </c>
    </row>
    <row r="14" spans="1:3" x14ac:dyDescent="0.25">
      <c r="A14" t="s">
        <v>280</v>
      </c>
      <c r="B14" t="s">
        <v>101</v>
      </c>
    </row>
    <row r="15" spans="1:3" x14ac:dyDescent="0.25">
      <c r="A15" t="s">
        <v>281</v>
      </c>
      <c r="B15" t="s">
        <v>421</v>
      </c>
    </row>
    <row r="16" spans="1:3" x14ac:dyDescent="0.25">
      <c r="A16" t="s">
        <v>283</v>
      </c>
      <c r="B16" s="31">
        <v>868661</v>
      </c>
    </row>
    <row r="17" spans="1:6" x14ac:dyDescent="0.25">
      <c r="A17" t="s">
        <v>284</v>
      </c>
      <c r="B17" t="s">
        <v>133</v>
      </c>
    </row>
    <row r="18" spans="1:6" x14ac:dyDescent="0.25">
      <c r="A18" t="s">
        <v>285</v>
      </c>
      <c r="B18" t="s">
        <v>134</v>
      </c>
    </row>
    <row r="19" spans="1:6" x14ac:dyDescent="0.25">
      <c r="A19" t="s">
        <v>286</v>
      </c>
      <c r="B19" t="s">
        <v>44</v>
      </c>
    </row>
    <row r="21" spans="1:6" x14ac:dyDescent="0.25">
      <c r="A21" s="34" t="s">
        <v>287</v>
      </c>
      <c r="B21" s="35"/>
      <c r="C21" s="35"/>
    </row>
    <row r="22" spans="1:6" x14ac:dyDescent="0.25">
      <c r="A22" t="s">
        <v>11</v>
      </c>
      <c r="B22" s="28">
        <v>2400000</v>
      </c>
    </row>
    <row r="23" spans="1:6" x14ac:dyDescent="0.25">
      <c r="A23" t="s">
        <v>288</v>
      </c>
      <c r="B23" s="31">
        <f>IFERROR(B22/B7,"")</f>
        <v>240000</v>
      </c>
    </row>
    <row r="24" spans="1:6" x14ac:dyDescent="0.25">
      <c r="A24" t="s">
        <v>289</v>
      </c>
      <c r="B24" s="38">
        <f>IFERROR(B22/B8,"")</f>
        <v>309.79734090615722</v>
      </c>
    </row>
    <row r="25" spans="1:6" x14ac:dyDescent="0.25">
      <c r="A25" t="s">
        <v>290</v>
      </c>
      <c r="B25" s="39">
        <v>5.2900000000000003E-2</v>
      </c>
    </row>
    <row r="26" spans="1:6" x14ac:dyDescent="0.25">
      <c r="A26" t="s">
        <v>291</v>
      </c>
      <c r="B26" s="40">
        <v>11.44</v>
      </c>
    </row>
    <row r="28" spans="1:6" x14ac:dyDescent="0.25">
      <c r="A28" s="34" t="s">
        <v>292</v>
      </c>
      <c r="B28" s="35"/>
      <c r="C28" s="35"/>
      <c r="D28" s="35"/>
      <c r="E28" s="35"/>
      <c r="F28" s="35"/>
    </row>
    <row r="29" spans="1:6" x14ac:dyDescent="0.25">
      <c r="A29" s="41" t="s">
        <v>293</v>
      </c>
      <c r="B29" s="41" t="s">
        <v>294</v>
      </c>
      <c r="C29" s="41" t="s">
        <v>295</v>
      </c>
      <c r="D29" s="41" t="s">
        <v>296</v>
      </c>
      <c r="E29" s="41" t="s">
        <v>297</v>
      </c>
      <c r="F29" s="41" t="s">
        <v>298</v>
      </c>
    </row>
    <row r="30" spans="1:6" x14ac:dyDescent="0.25">
      <c r="A30" t="s">
        <v>422</v>
      </c>
      <c r="B30" s="36">
        <v>2</v>
      </c>
      <c r="C30" s="28">
        <v>1183</v>
      </c>
      <c r="D30" s="31">
        <f>B30*C30</f>
        <v>2366</v>
      </c>
      <c r="E30" s="31">
        <f>D30*12</f>
        <v>28392</v>
      </c>
      <c r="F30" s="26" t="s">
        <v>38</v>
      </c>
    </row>
    <row r="31" spans="1:6" x14ac:dyDescent="0.25">
      <c r="A31" t="s">
        <v>423</v>
      </c>
      <c r="B31" s="36">
        <v>7</v>
      </c>
      <c r="C31" s="28">
        <v>1575</v>
      </c>
      <c r="D31" s="31">
        <f>B31*C31</f>
        <v>11025</v>
      </c>
      <c r="E31" s="31">
        <f>D31*12</f>
        <v>132300</v>
      </c>
      <c r="F31" s="26" t="s">
        <v>38</v>
      </c>
    </row>
    <row r="32" spans="1:6" x14ac:dyDescent="0.25">
      <c r="A32" s="42" t="s">
        <v>303</v>
      </c>
      <c r="B32" s="43">
        <f>SUM(B30:B31)</f>
        <v>9</v>
      </c>
      <c r="C32" s="44">
        <f>IFERROR(D32/B32,"")</f>
        <v>1487.8888888888889</v>
      </c>
      <c r="D32" s="44">
        <f>SUM(D30:D31)</f>
        <v>13391</v>
      </c>
      <c r="E32" s="44">
        <f>SUM(E30:E31)</f>
        <v>160692</v>
      </c>
    </row>
    <row r="33" spans="1:6" x14ac:dyDescent="0.25">
      <c r="A33" s="50" t="s">
        <v>424</v>
      </c>
    </row>
    <row r="35" spans="1:6" x14ac:dyDescent="0.25">
      <c r="A35" s="34" t="s">
        <v>304</v>
      </c>
      <c r="B35" s="35"/>
      <c r="C35" s="35"/>
      <c r="D35" s="35"/>
      <c r="E35" s="35"/>
      <c r="F35" s="35"/>
    </row>
    <row r="36" spans="1:6" x14ac:dyDescent="0.25">
      <c r="A36" s="45"/>
      <c r="B36" s="45" t="s">
        <v>305</v>
      </c>
      <c r="C36" s="45" t="s">
        <v>306</v>
      </c>
      <c r="D36" s="45"/>
      <c r="E36" s="45"/>
      <c r="F36" s="45" t="s">
        <v>307</v>
      </c>
    </row>
    <row r="37" spans="1:6" x14ac:dyDescent="0.25">
      <c r="A37" t="s">
        <v>308</v>
      </c>
      <c r="B37" s="31">
        <v>209790.2097902098</v>
      </c>
      <c r="C37" s="31">
        <f>E32</f>
        <v>160692</v>
      </c>
      <c r="F37" s="26" t="s">
        <v>309</v>
      </c>
    </row>
    <row r="38" spans="1:6" x14ac:dyDescent="0.25">
      <c r="A38" t="s">
        <v>310</v>
      </c>
      <c r="B38" s="31">
        <v>0</v>
      </c>
      <c r="C38" s="28">
        <v>0</v>
      </c>
    </row>
    <row r="39" spans="1:6" x14ac:dyDescent="0.25">
      <c r="A39" s="42" t="s">
        <v>311</v>
      </c>
      <c r="B39" s="31">
        <f>B37+B38</f>
        <v>209790.2097902098</v>
      </c>
      <c r="C39" s="31">
        <f>C37+C38</f>
        <v>160692</v>
      </c>
    </row>
    <row r="40" spans="1:6" x14ac:dyDescent="0.25">
      <c r="A40" t="s">
        <v>312</v>
      </c>
      <c r="B40" s="31">
        <f>-B37*0.03</f>
        <v>-6293.7062937062938</v>
      </c>
      <c r="C40" s="31">
        <f>-C37*Assumptions!$B$3</f>
        <v>-4820.76</v>
      </c>
      <c r="F40" s="26" t="s">
        <v>313</v>
      </c>
    </row>
    <row r="41" spans="1:6" x14ac:dyDescent="0.25">
      <c r="A41" s="42" t="s">
        <v>314</v>
      </c>
      <c r="B41" s="44">
        <f>B39+B40</f>
        <v>203496.50349650352</v>
      </c>
      <c r="C41" s="44">
        <f>C39+C40</f>
        <v>155871.24</v>
      </c>
    </row>
    <row r="43" spans="1:6" x14ac:dyDescent="0.25">
      <c r="A43" s="34" t="s">
        <v>315</v>
      </c>
      <c r="B43" s="35"/>
      <c r="C43" s="35"/>
      <c r="D43" s="35"/>
      <c r="E43" s="35"/>
      <c r="F43" s="35"/>
    </row>
    <row r="44" spans="1:6" x14ac:dyDescent="0.25">
      <c r="A44" s="45" t="s">
        <v>316</v>
      </c>
      <c r="B44" s="45" t="s">
        <v>305</v>
      </c>
      <c r="C44" s="45" t="s">
        <v>317</v>
      </c>
      <c r="D44" s="45" t="s">
        <v>306</v>
      </c>
      <c r="E44" s="45" t="s">
        <v>318</v>
      </c>
      <c r="F44" s="45" t="s">
        <v>307</v>
      </c>
    </row>
    <row r="45" spans="1:6" x14ac:dyDescent="0.25">
      <c r="A45" t="s">
        <v>319</v>
      </c>
      <c r="B45" s="31"/>
      <c r="C45" s="31">
        <f>B22*Assumptions!$B$18</f>
        <v>28800</v>
      </c>
      <c r="D45" s="46">
        <f>C45</f>
        <v>28800</v>
      </c>
      <c r="E45" s="31" t="str">
        <f t="shared" ref="E45:E53" si="0">IF(ISNUMBER(B45),D45-B45,"")</f>
        <v/>
      </c>
      <c r="F45" s="26" t="s">
        <v>394</v>
      </c>
    </row>
    <row r="46" spans="1:6" x14ac:dyDescent="0.25">
      <c r="A46" t="s">
        <v>321</v>
      </c>
      <c r="B46" s="31"/>
      <c r="C46" s="31">
        <f>B7*Assumptions!$B$5+B8*Assumptions!$B$6</f>
        <v>9747</v>
      </c>
      <c r="D46" s="46">
        <f t="shared" ref="D46:D52" si="1">IF(ISNUMBER(B46),MAX(B46,C46),C46)</f>
        <v>9747</v>
      </c>
      <c r="E46" s="31" t="str">
        <f t="shared" si="0"/>
        <v/>
      </c>
      <c r="F46" s="26" t="s">
        <v>322</v>
      </c>
    </row>
    <row r="47" spans="1:6" x14ac:dyDescent="0.25">
      <c r="A47" t="s">
        <v>323</v>
      </c>
      <c r="B47" s="31"/>
      <c r="C47" s="31">
        <f>C41*Assumptions!$B$4</f>
        <v>7793.5619999999999</v>
      </c>
      <c r="D47" s="46">
        <f t="shared" si="1"/>
        <v>7793.5619999999999</v>
      </c>
      <c r="E47" s="31" t="str">
        <f t="shared" si="0"/>
        <v/>
      </c>
      <c r="F47" s="26" t="s">
        <v>324</v>
      </c>
    </row>
    <row r="48" spans="1:6" x14ac:dyDescent="0.25">
      <c r="A48" t="s">
        <v>325</v>
      </c>
      <c r="B48" s="31"/>
      <c r="C48" s="31">
        <f>B7*Assumptions!$B$7</f>
        <v>12000</v>
      </c>
      <c r="D48" s="46">
        <f t="shared" si="1"/>
        <v>12000</v>
      </c>
      <c r="E48" s="31" t="str">
        <f t="shared" si="0"/>
        <v/>
      </c>
      <c r="F48" s="26" t="s">
        <v>326</v>
      </c>
    </row>
    <row r="49" spans="1:6" x14ac:dyDescent="0.25">
      <c r="A49" t="s">
        <v>327</v>
      </c>
      <c r="B49" s="31"/>
      <c r="C49" s="31">
        <f>B7*Assumptions!$B$11</f>
        <v>16000</v>
      </c>
      <c r="D49" s="46">
        <f t="shared" si="1"/>
        <v>16000</v>
      </c>
      <c r="E49" s="31" t="str">
        <f t="shared" si="0"/>
        <v/>
      </c>
      <c r="F49" s="26" t="s">
        <v>328</v>
      </c>
    </row>
    <row r="50" spans="1:6" x14ac:dyDescent="0.25">
      <c r="A50" t="s">
        <v>329</v>
      </c>
      <c r="B50" s="31"/>
      <c r="C50" s="31">
        <f>B7*Assumptions!$B$12</f>
        <v>4000</v>
      </c>
      <c r="D50" s="46">
        <f t="shared" si="1"/>
        <v>4000</v>
      </c>
      <c r="E50" s="31" t="str">
        <f t="shared" si="0"/>
        <v/>
      </c>
      <c r="F50" s="26" t="s">
        <v>330</v>
      </c>
    </row>
    <row r="51" spans="1:6" x14ac:dyDescent="0.25">
      <c r="A51" t="s">
        <v>331</v>
      </c>
      <c r="B51" s="31"/>
      <c r="C51" s="31">
        <f>B7*Assumptions!$B$13</f>
        <v>2500</v>
      </c>
      <c r="D51" s="46">
        <f t="shared" si="1"/>
        <v>2500</v>
      </c>
      <c r="E51" s="31" t="str">
        <f t="shared" si="0"/>
        <v/>
      </c>
      <c r="F51" s="26" t="s">
        <v>332</v>
      </c>
    </row>
    <row r="52" spans="1:6" x14ac:dyDescent="0.25">
      <c r="A52" t="s">
        <v>333</v>
      </c>
      <c r="B52" s="31"/>
      <c r="C52" s="31">
        <f>B7*Assumptions!$B$14</f>
        <v>3000</v>
      </c>
      <c r="D52" s="46">
        <f t="shared" si="1"/>
        <v>3000</v>
      </c>
      <c r="E52" s="31" t="str">
        <f t="shared" si="0"/>
        <v/>
      </c>
      <c r="F52" s="26" t="s">
        <v>330</v>
      </c>
    </row>
    <row r="53" spans="1:6" x14ac:dyDescent="0.25">
      <c r="A53" s="42" t="s">
        <v>334</v>
      </c>
      <c r="B53" s="44">
        <f>B41-B22*B25</f>
        <v>76536.503496503516</v>
      </c>
      <c r="C53" s="44">
        <f>SUM(C45:C52)</f>
        <v>83840.562000000005</v>
      </c>
      <c r="D53" s="44">
        <f>SUM(D45:D52)</f>
        <v>83840.562000000005</v>
      </c>
      <c r="E53" s="44">
        <f t="shared" si="0"/>
        <v>7304.0585034964897</v>
      </c>
      <c r="F53" s="26" t="s">
        <v>335</v>
      </c>
    </row>
    <row r="54" spans="1:6" x14ac:dyDescent="0.25">
      <c r="A54" t="s">
        <v>336</v>
      </c>
      <c r="B54" s="31">
        <f>IFERROR(B53/B7,"")</f>
        <v>7653.6503496503519</v>
      </c>
      <c r="C54" s="31">
        <f>IFERROR(C53/B7,"")</f>
        <v>8384.0562000000009</v>
      </c>
      <c r="D54" s="31">
        <f>IFERROR(D53/B7,"")</f>
        <v>8384.0562000000009</v>
      </c>
    </row>
    <row r="55" spans="1:6" x14ac:dyDescent="0.25">
      <c r="A55" t="s">
        <v>337</v>
      </c>
      <c r="B55" s="39">
        <f>IFERROR(B53/B41,"")</f>
        <v>0.37610721649484541</v>
      </c>
      <c r="C55" s="39">
        <f>IFERROR(C53/C41,"")</f>
        <v>0.53788346073335924</v>
      </c>
      <c r="D55" s="39">
        <f>IF(C37&gt;0,IFERROR(D53/C41,""),"")</f>
        <v>0.53788346073335924</v>
      </c>
    </row>
    <row r="56" spans="1:6" x14ac:dyDescent="0.25">
      <c r="A56" s="42" t="s">
        <v>18</v>
      </c>
      <c r="B56" s="47" t="str">
        <f>IF(ISNUMBER(B53),IF(D53&gt;B53*(1+Assumptions!$B$24),"OM EXPENSES LIGHT","OM expenses reasonable"),"OM expenses not published")</f>
        <v>OM EXPENSES LIGHT</v>
      </c>
    </row>
    <row r="58" spans="1:6" x14ac:dyDescent="0.25">
      <c r="A58" s="34" t="s">
        <v>338</v>
      </c>
      <c r="B58" s="35"/>
      <c r="C58" s="35"/>
      <c r="D58" s="35"/>
      <c r="E58" s="35"/>
      <c r="F58" s="35"/>
    </row>
    <row r="59" spans="1:6" x14ac:dyDescent="0.25">
      <c r="A59" s="45"/>
      <c r="B59" s="45" t="s">
        <v>305</v>
      </c>
      <c r="C59" s="45" t="s">
        <v>306</v>
      </c>
      <c r="D59" s="45"/>
      <c r="E59" s="45"/>
      <c r="F59" s="45" t="s">
        <v>307</v>
      </c>
    </row>
    <row r="60" spans="1:6" x14ac:dyDescent="0.25">
      <c r="A60" s="42" t="s">
        <v>339</v>
      </c>
      <c r="B60" s="44">
        <f>B41-B53</f>
        <v>126960</v>
      </c>
      <c r="C60" s="44">
        <f>IF(C37&gt;0,C41-D53,"")</f>
        <v>72030.677999999985</v>
      </c>
    </row>
    <row r="61" spans="1:6" x14ac:dyDescent="0.25">
      <c r="A61" s="42" t="s">
        <v>340</v>
      </c>
      <c r="B61" s="39">
        <f>IFERROR(B60/B22,"")</f>
        <v>5.2900000000000003E-2</v>
      </c>
      <c r="C61" s="39">
        <f>IF(C60="","",IFERROR(C60/B22,""))</f>
        <v>3.0012782499999995E-2</v>
      </c>
      <c r="F61" s="26" t="s">
        <v>341</v>
      </c>
    </row>
    <row r="62" spans="1:6" x14ac:dyDescent="0.25">
      <c r="A62" t="s">
        <v>342</v>
      </c>
      <c r="B62" s="40">
        <f>IFERROR(B22/B37,"")</f>
        <v>11.44</v>
      </c>
      <c r="C62" s="40">
        <f>IF(C37&gt;0,IFERROR(B22/C37,""),"")</f>
        <v>14.935404376073482</v>
      </c>
    </row>
    <row r="63" spans="1:6" x14ac:dyDescent="0.25">
      <c r="A63" t="s">
        <v>343</v>
      </c>
      <c r="B63" s="31">
        <f>IFERROR(B60/B7,"")</f>
        <v>12696</v>
      </c>
      <c r="C63" s="31">
        <f>IF(C60="","",IFERROR(C60/B7,""))</f>
        <v>7203.0677999999989</v>
      </c>
    </row>
    <row r="65" spans="1:6" x14ac:dyDescent="0.25">
      <c r="A65" s="34" t="s">
        <v>344</v>
      </c>
      <c r="B65" s="35"/>
      <c r="C65" s="35"/>
      <c r="D65" s="35"/>
      <c r="E65" s="35"/>
      <c r="F65" s="35"/>
    </row>
    <row r="66" spans="1:6" x14ac:dyDescent="0.25">
      <c r="A66" t="s">
        <v>345</v>
      </c>
      <c r="B66" s="31">
        <f>IFERROR(B22*Assumptions!$B$20,"")</f>
        <v>1440000</v>
      </c>
    </row>
    <row r="67" spans="1:6" x14ac:dyDescent="0.25">
      <c r="A67" t="s">
        <v>346</v>
      </c>
      <c r="B67" s="31">
        <f>IF(C60="","",IFERROR(PV(Assumptions!$B$22/12,Assumptions!$B$23*12,-C60/Assumptions!$B$21/12),""))</f>
        <v>779910.84164524067</v>
      </c>
    </row>
    <row r="68" spans="1:6" x14ac:dyDescent="0.25">
      <c r="A68" s="42" t="s">
        <v>347</v>
      </c>
      <c r="B68" s="31">
        <f>IFERROR(MIN(B66,B67),"")</f>
        <v>779910.84164524067</v>
      </c>
    </row>
    <row r="69" spans="1:6" x14ac:dyDescent="0.25">
      <c r="A69" t="s">
        <v>348</v>
      </c>
      <c r="B69" s="31">
        <f>IFERROR(B22-B68,"")</f>
        <v>1620089.1583547592</v>
      </c>
    </row>
    <row r="70" spans="1:6" x14ac:dyDescent="0.25">
      <c r="A70" t="s">
        <v>349</v>
      </c>
      <c r="B70" s="31">
        <f>IFERROR(-PMT(Assumptions!$B$22/12,Assumptions!$B$23*12,B68)*12,"")</f>
        <v>57624.542399999809</v>
      </c>
    </row>
    <row r="71" spans="1:6" x14ac:dyDescent="0.25">
      <c r="A71" t="s">
        <v>350</v>
      </c>
      <c r="B71" s="40">
        <f>IFERROR(C60/B70,"")</f>
        <v>1.2500000000000038</v>
      </c>
    </row>
    <row r="72" spans="1:6" x14ac:dyDescent="0.25">
      <c r="A72" t="s">
        <v>351</v>
      </c>
      <c r="B72" s="31">
        <f>IFERROR(C60-B70,"")</f>
        <v>14406.135600000176</v>
      </c>
    </row>
    <row r="73" spans="1:6" x14ac:dyDescent="0.25">
      <c r="A73" t="s">
        <v>352</v>
      </c>
      <c r="B73" s="39">
        <f>IFERROR(B72/B69,"")</f>
        <v>8.8921869057070682E-3</v>
      </c>
    </row>
    <row r="75" spans="1:6" x14ac:dyDescent="0.25">
      <c r="A75" s="26" t="s">
        <v>353</v>
      </c>
    </row>
  </sheetData>
  <hyperlinks>
    <hyperlink ref="A3" r:id="rId1" xr:uid="{00000000-0004-0000-1400-000000000000}"/>
  </hyperlinks>
  <pageMargins left="0.75" right="0.75" top="1" bottom="1" header="0.5" footer="0.5"/>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F76"/>
  <sheetViews>
    <sheetView showGridLines="0" workbookViewId="0">
      <pane ySplit="5" topLeftCell="A6" activePane="bottomLeft" state="frozen"/>
      <selection pane="bottomLeft"/>
    </sheetView>
  </sheetViews>
  <sheetFormatPr defaultRowHeight="15" x14ac:dyDescent="0.25"/>
  <cols>
    <col min="1" max="1" width="38" customWidth="1"/>
    <col min="2" max="5" width="16" customWidth="1"/>
    <col min="6" max="6" width="48" customWidth="1"/>
    <col min="7" max="7" width="12" customWidth="1"/>
  </cols>
  <sheetData>
    <row r="1" spans="1:3" ht="19.5" x14ac:dyDescent="0.3">
      <c r="A1" s="1" t="s">
        <v>135</v>
      </c>
    </row>
    <row r="2" spans="1:3" x14ac:dyDescent="0.25">
      <c r="A2" s="32" t="s">
        <v>425</v>
      </c>
    </row>
    <row r="3" spans="1:3" x14ac:dyDescent="0.25">
      <c r="A3" s="33" t="s">
        <v>271</v>
      </c>
      <c r="B3" s="26" t="s">
        <v>272</v>
      </c>
    </row>
    <row r="6" spans="1:3" x14ac:dyDescent="0.25">
      <c r="A6" s="34" t="s">
        <v>273</v>
      </c>
      <c r="B6" s="35"/>
      <c r="C6" s="35"/>
    </row>
    <row r="7" spans="1:3" x14ac:dyDescent="0.25">
      <c r="A7" t="s">
        <v>7</v>
      </c>
      <c r="B7" s="36">
        <v>15</v>
      </c>
    </row>
    <row r="8" spans="1:3" x14ac:dyDescent="0.25">
      <c r="A8" t="s">
        <v>274</v>
      </c>
      <c r="B8" s="36">
        <v>8822</v>
      </c>
    </row>
    <row r="9" spans="1:3" x14ac:dyDescent="0.25">
      <c r="A9" t="s">
        <v>10</v>
      </c>
      <c r="B9" s="36">
        <v>7405</v>
      </c>
    </row>
    <row r="10" spans="1:3" x14ac:dyDescent="0.25">
      <c r="A10" t="s">
        <v>275</v>
      </c>
      <c r="B10" s="37">
        <v>0.17</v>
      </c>
    </row>
    <row r="11" spans="1:3" x14ac:dyDescent="0.25">
      <c r="A11" t="s">
        <v>8</v>
      </c>
      <c r="B11">
        <v>1962</v>
      </c>
    </row>
    <row r="12" spans="1:3" x14ac:dyDescent="0.25">
      <c r="A12" t="s">
        <v>276</v>
      </c>
      <c r="B12" t="s">
        <v>367</v>
      </c>
    </row>
    <row r="13" spans="1:3" x14ac:dyDescent="0.25">
      <c r="A13" t="s">
        <v>278</v>
      </c>
      <c r="B13" t="s">
        <v>426</v>
      </c>
    </row>
    <row r="14" spans="1:3" x14ac:dyDescent="0.25">
      <c r="A14" t="s">
        <v>280</v>
      </c>
    </row>
    <row r="15" spans="1:3" x14ac:dyDescent="0.25">
      <c r="A15" t="s">
        <v>281</v>
      </c>
      <c r="B15" t="s">
        <v>427</v>
      </c>
    </row>
    <row r="16" spans="1:3" x14ac:dyDescent="0.25">
      <c r="A16" t="s">
        <v>283</v>
      </c>
      <c r="B16" s="31">
        <v>3143135</v>
      </c>
    </row>
    <row r="17" spans="1:6" x14ac:dyDescent="0.25">
      <c r="A17" t="s">
        <v>284</v>
      </c>
      <c r="B17" t="s">
        <v>111</v>
      </c>
    </row>
    <row r="18" spans="1:6" x14ac:dyDescent="0.25">
      <c r="A18" t="s">
        <v>285</v>
      </c>
      <c r="B18" t="s">
        <v>137</v>
      </c>
    </row>
    <row r="19" spans="1:6" x14ac:dyDescent="0.25">
      <c r="A19" t="s">
        <v>286</v>
      </c>
      <c r="B19" t="s">
        <v>113</v>
      </c>
    </row>
    <row r="21" spans="1:6" x14ac:dyDescent="0.25">
      <c r="A21" s="34" t="s">
        <v>287</v>
      </c>
      <c r="B21" s="35"/>
      <c r="C21" s="35"/>
    </row>
    <row r="22" spans="1:6" x14ac:dyDescent="0.25">
      <c r="A22" t="s">
        <v>11</v>
      </c>
      <c r="B22" s="28">
        <v>3475000</v>
      </c>
    </row>
    <row r="23" spans="1:6" x14ac:dyDescent="0.25">
      <c r="A23" t="s">
        <v>288</v>
      </c>
      <c r="B23" s="31">
        <f>IFERROR(B22/B7,"")</f>
        <v>231666.66666666666</v>
      </c>
    </row>
    <row r="24" spans="1:6" x14ac:dyDescent="0.25">
      <c r="A24" t="s">
        <v>289</v>
      </c>
      <c r="B24" s="38">
        <f>IFERROR(B22/B8,"")</f>
        <v>393.90160961233278</v>
      </c>
    </row>
    <row r="25" spans="1:6" x14ac:dyDescent="0.25">
      <c r="A25" t="s">
        <v>290</v>
      </c>
      <c r="B25" s="39">
        <v>5.16E-2</v>
      </c>
    </row>
    <row r="26" spans="1:6" x14ac:dyDescent="0.25">
      <c r="A26" t="s">
        <v>291</v>
      </c>
      <c r="B26" s="40">
        <v>12.17</v>
      </c>
    </row>
    <row r="28" spans="1:6" x14ac:dyDescent="0.25">
      <c r="A28" s="34" t="s">
        <v>292</v>
      </c>
      <c r="B28" s="35"/>
      <c r="C28" s="35"/>
      <c r="D28" s="35"/>
      <c r="E28" s="35"/>
      <c r="F28" s="35"/>
    </row>
    <row r="29" spans="1:6" x14ac:dyDescent="0.25">
      <c r="A29" s="41" t="s">
        <v>293</v>
      </c>
      <c r="B29" s="41" t="s">
        <v>294</v>
      </c>
      <c r="C29" s="41" t="s">
        <v>295</v>
      </c>
      <c r="D29" s="41" t="s">
        <v>296</v>
      </c>
      <c r="E29" s="41" t="s">
        <v>297</v>
      </c>
      <c r="F29" s="41" t="s">
        <v>298</v>
      </c>
    </row>
    <row r="30" spans="1:6" x14ac:dyDescent="0.25">
      <c r="A30" t="s">
        <v>257</v>
      </c>
      <c r="B30" s="36">
        <v>5</v>
      </c>
      <c r="C30" s="48">
        <v>1173</v>
      </c>
      <c r="D30" s="31">
        <f>B30*C30</f>
        <v>5865</v>
      </c>
      <c r="E30" s="31">
        <f>D30*12</f>
        <v>70380</v>
      </c>
      <c r="F30" s="26" t="s">
        <v>45</v>
      </c>
    </row>
    <row r="31" spans="1:6" x14ac:dyDescent="0.25">
      <c r="A31" t="s">
        <v>302</v>
      </c>
      <c r="B31" s="36">
        <v>6</v>
      </c>
      <c r="C31" s="48">
        <v>1676</v>
      </c>
      <c r="D31" s="31">
        <f>B31*C31</f>
        <v>10056</v>
      </c>
      <c r="E31" s="31">
        <f>D31*12</f>
        <v>120672</v>
      </c>
      <c r="F31" s="26" t="s">
        <v>45</v>
      </c>
    </row>
    <row r="32" spans="1:6" x14ac:dyDescent="0.25">
      <c r="A32" t="s">
        <v>428</v>
      </c>
      <c r="B32" s="36">
        <v>2</v>
      </c>
      <c r="C32" s="48">
        <v>1676</v>
      </c>
      <c r="D32" s="31">
        <f>B32*C32</f>
        <v>3352</v>
      </c>
      <c r="E32" s="31">
        <f>D32*12</f>
        <v>40224</v>
      </c>
      <c r="F32" s="26" t="s">
        <v>45</v>
      </c>
    </row>
    <row r="33" spans="1:6" x14ac:dyDescent="0.25">
      <c r="A33" t="s">
        <v>299</v>
      </c>
      <c r="B33" s="36">
        <v>2</v>
      </c>
      <c r="C33" s="48">
        <v>2262</v>
      </c>
      <c r="D33" s="31">
        <f>B33*C33</f>
        <v>4524</v>
      </c>
      <c r="E33" s="31">
        <f>D33*12</f>
        <v>54288</v>
      </c>
      <c r="F33" s="26" t="s">
        <v>45</v>
      </c>
    </row>
    <row r="34" spans="1:6" x14ac:dyDescent="0.25">
      <c r="A34" s="42" t="s">
        <v>303</v>
      </c>
      <c r="B34" s="43">
        <f>SUM(B30:B33)</f>
        <v>15</v>
      </c>
      <c r="C34" s="44">
        <f>IFERROR(D34/B34,"")</f>
        <v>1586.4666666666667</v>
      </c>
      <c r="D34" s="44">
        <f>SUM(D30:D33)</f>
        <v>23797</v>
      </c>
      <c r="E34" s="44">
        <f>SUM(E30:E33)</f>
        <v>285564</v>
      </c>
    </row>
    <row r="36" spans="1:6" x14ac:dyDescent="0.25">
      <c r="A36" s="34" t="s">
        <v>304</v>
      </c>
      <c r="B36" s="35"/>
      <c r="C36" s="35"/>
      <c r="D36" s="35"/>
      <c r="E36" s="35"/>
      <c r="F36" s="35"/>
    </row>
    <row r="37" spans="1:6" x14ac:dyDescent="0.25">
      <c r="A37" s="45"/>
      <c r="B37" s="45" t="s">
        <v>305</v>
      </c>
      <c r="C37" s="45" t="s">
        <v>306</v>
      </c>
      <c r="D37" s="45"/>
      <c r="E37" s="45"/>
      <c r="F37" s="45" t="s">
        <v>307</v>
      </c>
    </row>
    <row r="38" spans="1:6" x14ac:dyDescent="0.25">
      <c r="A38" t="s">
        <v>308</v>
      </c>
      <c r="B38" s="31">
        <v>285538.20870994253</v>
      </c>
      <c r="C38" s="31">
        <f>E34</f>
        <v>285564</v>
      </c>
      <c r="F38" s="26" t="s">
        <v>309</v>
      </c>
    </row>
    <row r="39" spans="1:6" x14ac:dyDescent="0.25">
      <c r="A39" t="s">
        <v>310</v>
      </c>
      <c r="B39" s="31">
        <v>0</v>
      </c>
      <c r="C39" s="28">
        <v>0</v>
      </c>
    </row>
    <row r="40" spans="1:6" x14ac:dyDescent="0.25">
      <c r="A40" s="42" t="s">
        <v>311</v>
      </c>
      <c r="B40" s="31">
        <f>B38+B39</f>
        <v>285538.20870994253</v>
      </c>
      <c r="C40" s="31">
        <f>C38+C39</f>
        <v>285564</v>
      </c>
    </row>
    <row r="41" spans="1:6" x14ac:dyDescent="0.25">
      <c r="A41" t="s">
        <v>312</v>
      </c>
      <c r="B41" s="31">
        <f>-B38*0.03</f>
        <v>-8566.1462612982759</v>
      </c>
      <c r="C41" s="31">
        <f>-C38*Assumptions!$B$3</f>
        <v>-8566.92</v>
      </c>
      <c r="F41" s="26" t="s">
        <v>313</v>
      </c>
    </row>
    <row r="42" spans="1:6" x14ac:dyDescent="0.25">
      <c r="A42" s="42" t="s">
        <v>314</v>
      </c>
      <c r="B42" s="44">
        <f>B40+B41</f>
        <v>276972.06244864425</v>
      </c>
      <c r="C42" s="44">
        <f>C40+C41</f>
        <v>276997.08</v>
      </c>
    </row>
    <row r="44" spans="1:6" x14ac:dyDescent="0.25">
      <c r="A44" s="34" t="s">
        <v>315</v>
      </c>
      <c r="B44" s="35"/>
      <c r="C44" s="35"/>
      <c r="D44" s="35"/>
      <c r="E44" s="35"/>
      <c r="F44" s="35"/>
    </row>
    <row r="45" spans="1:6" x14ac:dyDescent="0.25">
      <c r="A45" s="45" t="s">
        <v>316</v>
      </c>
      <c r="B45" s="45" t="s">
        <v>305</v>
      </c>
      <c r="C45" s="45" t="s">
        <v>317</v>
      </c>
      <c r="D45" s="45" t="s">
        <v>306</v>
      </c>
      <c r="E45" s="45" t="s">
        <v>318</v>
      </c>
      <c r="F45" s="45" t="s">
        <v>307</v>
      </c>
    </row>
    <row r="46" spans="1:6" x14ac:dyDescent="0.25">
      <c r="A46" t="s">
        <v>319</v>
      </c>
      <c r="B46" s="31"/>
      <c r="C46" s="31">
        <f>B22*Assumptions!$B$16</f>
        <v>39962.5</v>
      </c>
      <c r="D46" s="46">
        <f>C46</f>
        <v>39962.5</v>
      </c>
      <c r="E46" s="31" t="str">
        <f t="shared" ref="E46:E54" si="0">IF(ISNUMBER(B46),D46-B46,"")</f>
        <v/>
      </c>
      <c r="F46" s="26" t="s">
        <v>320</v>
      </c>
    </row>
    <row r="47" spans="1:6" x14ac:dyDescent="0.25">
      <c r="A47" t="s">
        <v>321</v>
      </c>
      <c r="B47" s="31"/>
      <c r="C47" s="31">
        <f>B7*Assumptions!$B$5+B8*Assumptions!$B$6</f>
        <v>11822</v>
      </c>
      <c r="D47" s="46">
        <f t="shared" ref="D47:D53" si="1">IF(ISNUMBER(B47),MAX(B47,C47),C47)</f>
        <v>11822</v>
      </c>
      <c r="E47" s="31" t="str">
        <f t="shared" si="0"/>
        <v/>
      </c>
      <c r="F47" s="26" t="s">
        <v>322</v>
      </c>
    </row>
    <row r="48" spans="1:6" x14ac:dyDescent="0.25">
      <c r="A48" t="s">
        <v>323</v>
      </c>
      <c r="B48" s="31"/>
      <c r="C48" s="31">
        <f>C42*Assumptions!$B$4</f>
        <v>13849.854000000001</v>
      </c>
      <c r="D48" s="46">
        <f t="shared" si="1"/>
        <v>13849.854000000001</v>
      </c>
      <c r="E48" s="31" t="str">
        <f t="shared" si="0"/>
        <v/>
      </c>
      <c r="F48" s="26" t="s">
        <v>324</v>
      </c>
    </row>
    <row r="49" spans="1:6" x14ac:dyDescent="0.25">
      <c r="A49" t="s">
        <v>325</v>
      </c>
      <c r="B49" s="31"/>
      <c r="C49" s="31">
        <f>B7*Assumptions!$B$7</f>
        <v>18000</v>
      </c>
      <c r="D49" s="46">
        <f t="shared" si="1"/>
        <v>18000</v>
      </c>
      <c r="E49" s="31" t="str">
        <f t="shared" si="0"/>
        <v/>
      </c>
      <c r="F49" s="26" t="s">
        <v>326</v>
      </c>
    </row>
    <row r="50" spans="1:6" x14ac:dyDescent="0.25">
      <c r="A50" t="s">
        <v>327</v>
      </c>
      <c r="B50" s="31"/>
      <c r="C50" s="31">
        <f>B7*Assumptions!$B$10</f>
        <v>27000</v>
      </c>
      <c r="D50" s="46">
        <f t="shared" si="1"/>
        <v>27000</v>
      </c>
      <c r="E50" s="31" t="str">
        <f t="shared" si="0"/>
        <v/>
      </c>
      <c r="F50" s="26" t="s">
        <v>328</v>
      </c>
    </row>
    <row r="51" spans="1:6" x14ac:dyDescent="0.25">
      <c r="A51" t="s">
        <v>329</v>
      </c>
      <c r="B51" s="31"/>
      <c r="C51" s="31">
        <f>B7*Assumptions!$B$12</f>
        <v>6000</v>
      </c>
      <c r="D51" s="46">
        <f t="shared" si="1"/>
        <v>6000</v>
      </c>
      <c r="E51" s="31" t="str">
        <f t="shared" si="0"/>
        <v/>
      </c>
      <c r="F51" s="26" t="s">
        <v>330</v>
      </c>
    </row>
    <row r="52" spans="1:6" x14ac:dyDescent="0.25">
      <c r="A52" t="s">
        <v>331</v>
      </c>
      <c r="B52" s="31"/>
      <c r="C52" s="31">
        <f>B7*Assumptions!$B$13</f>
        <v>3750</v>
      </c>
      <c r="D52" s="46">
        <f t="shared" si="1"/>
        <v>3750</v>
      </c>
      <c r="E52" s="31" t="str">
        <f t="shared" si="0"/>
        <v/>
      </c>
      <c r="F52" s="26" t="s">
        <v>332</v>
      </c>
    </row>
    <row r="53" spans="1:6" x14ac:dyDescent="0.25">
      <c r="A53" t="s">
        <v>333</v>
      </c>
      <c r="B53" s="31"/>
      <c r="C53" s="31">
        <f>B7*Assumptions!$B$14</f>
        <v>4500</v>
      </c>
      <c r="D53" s="46">
        <f t="shared" si="1"/>
        <v>4500</v>
      </c>
      <c r="E53" s="31" t="str">
        <f t="shared" si="0"/>
        <v/>
      </c>
      <c r="F53" s="26" t="s">
        <v>330</v>
      </c>
    </row>
    <row r="54" spans="1:6" x14ac:dyDescent="0.25">
      <c r="A54" s="42" t="s">
        <v>334</v>
      </c>
      <c r="B54" s="44">
        <f>B42-B22*B25</f>
        <v>97662.062448644254</v>
      </c>
      <c r="C54" s="44">
        <f>SUM(C46:C53)</f>
        <v>124884.35400000001</v>
      </c>
      <c r="D54" s="44">
        <f>SUM(D46:D53)</f>
        <v>124884.35400000001</v>
      </c>
      <c r="E54" s="44">
        <f t="shared" si="0"/>
        <v>27222.291551355753</v>
      </c>
      <c r="F54" s="26" t="s">
        <v>335</v>
      </c>
    </row>
    <row r="55" spans="1:6" x14ac:dyDescent="0.25">
      <c r="A55" t="s">
        <v>336</v>
      </c>
      <c r="B55" s="31">
        <f>IFERROR(B54/B7,"")</f>
        <v>6510.8041632429504</v>
      </c>
      <c r="C55" s="31">
        <f>IFERROR(C54/B7,"")</f>
        <v>8325.6236000000008</v>
      </c>
      <c r="D55" s="31">
        <f>IFERROR(D54/B7,"")</f>
        <v>8325.6236000000008</v>
      </c>
    </row>
    <row r="56" spans="1:6" x14ac:dyDescent="0.25">
      <c r="A56" t="s">
        <v>337</v>
      </c>
      <c r="B56" s="39">
        <f>IFERROR(B54/B42,"")</f>
        <v>0.3526061855670104</v>
      </c>
      <c r="C56" s="39">
        <f>IFERROR(C54/C42,"")</f>
        <v>0.45085079597228966</v>
      </c>
      <c r="D56" s="39">
        <f>IF(C38&gt;0,IFERROR(D54/C42,""),"")</f>
        <v>0.45085079597228966</v>
      </c>
    </row>
    <row r="57" spans="1:6" x14ac:dyDescent="0.25">
      <c r="A57" s="42" t="s">
        <v>18</v>
      </c>
      <c r="B57" s="47" t="str">
        <f>IF(ISNUMBER(B54),IF(D54&gt;B54*(1+Assumptions!$B$24),"OM EXPENSES LIGHT","OM expenses reasonable"),"OM expenses not published")</f>
        <v>OM EXPENSES LIGHT</v>
      </c>
    </row>
    <row r="59" spans="1:6" x14ac:dyDescent="0.25">
      <c r="A59" s="34" t="s">
        <v>338</v>
      </c>
      <c r="B59" s="35"/>
      <c r="C59" s="35"/>
      <c r="D59" s="35"/>
      <c r="E59" s="35"/>
      <c r="F59" s="35"/>
    </row>
    <row r="60" spans="1:6" x14ac:dyDescent="0.25">
      <c r="A60" s="45"/>
      <c r="B60" s="45" t="s">
        <v>305</v>
      </c>
      <c r="C60" s="45" t="s">
        <v>306</v>
      </c>
      <c r="D60" s="45"/>
      <c r="E60" s="45"/>
      <c r="F60" s="45" t="s">
        <v>307</v>
      </c>
    </row>
    <row r="61" spans="1:6" x14ac:dyDescent="0.25">
      <c r="A61" s="42" t="s">
        <v>339</v>
      </c>
      <c r="B61" s="44">
        <f>B42-B54</f>
        <v>179310</v>
      </c>
      <c r="C61" s="44">
        <f>IF(C38&gt;0,C42-D54,"")</f>
        <v>152112.72600000002</v>
      </c>
    </row>
    <row r="62" spans="1:6" x14ac:dyDescent="0.25">
      <c r="A62" s="42" t="s">
        <v>340</v>
      </c>
      <c r="B62" s="39">
        <f>IFERROR(B61/B22,"")</f>
        <v>5.16E-2</v>
      </c>
      <c r="C62" s="39">
        <f>IF(C61="","",IFERROR(C61/B22,""))</f>
        <v>4.3773446330935259E-2</v>
      </c>
      <c r="F62" s="26" t="s">
        <v>341</v>
      </c>
    </row>
    <row r="63" spans="1:6" x14ac:dyDescent="0.25">
      <c r="A63" t="s">
        <v>342</v>
      </c>
      <c r="B63" s="40">
        <f>IFERROR(B22/B38,"")</f>
        <v>12.169999999999998</v>
      </c>
      <c r="C63" s="40">
        <f>IF(C38&gt;0,IFERROR(B22/C38,""),"")</f>
        <v>12.16890084184281</v>
      </c>
    </row>
    <row r="64" spans="1:6" x14ac:dyDescent="0.25">
      <c r="A64" t="s">
        <v>343</v>
      </c>
      <c r="B64" s="31">
        <f>IFERROR(B61/B7,"")</f>
        <v>11954</v>
      </c>
      <c r="C64" s="31">
        <f>IF(C61="","",IFERROR(C61/B7,""))</f>
        <v>10140.848400000001</v>
      </c>
    </row>
    <row r="66" spans="1:6" x14ac:dyDescent="0.25">
      <c r="A66" s="34" t="s">
        <v>344</v>
      </c>
      <c r="B66" s="35"/>
      <c r="C66" s="35"/>
      <c r="D66" s="35"/>
      <c r="E66" s="35"/>
      <c r="F66" s="35"/>
    </row>
    <row r="67" spans="1:6" x14ac:dyDescent="0.25">
      <c r="A67" t="s">
        <v>345</v>
      </c>
      <c r="B67" s="31">
        <f>IFERROR(B22*Assumptions!$B$20,"")</f>
        <v>2085000</v>
      </c>
    </row>
    <row r="68" spans="1:6" x14ac:dyDescent="0.25">
      <c r="A68" t="s">
        <v>346</v>
      </c>
      <c r="B68" s="31">
        <f>IF(C61="","",IFERROR(PV(Assumptions!$B$22/12,Assumptions!$B$23*12,-C61/Assumptions!$B$21/12),""))</f>
        <v>1646997.7439281067</v>
      </c>
    </row>
    <row r="69" spans="1:6" x14ac:dyDescent="0.25">
      <c r="A69" s="42" t="s">
        <v>347</v>
      </c>
      <c r="B69" s="31">
        <f>IFERROR(MIN(B67,B68),"")</f>
        <v>1646997.7439281067</v>
      </c>
    </row>
    <row r="70" spans="1:6" x14ac:dyDescent="0.25">
      <c r="A70" t="s">
        <v>348</v>
      </c>
      <c r="B70" s="31">
        <f>IFERROR(B22-B69,"")</f>
        <v>1828002.2560718933</v>
      </c>
    </row>
    <row r="71" spans="1:6" x14ac:dyDescent="0.25">
      <c r="A71" t="s">
        <v>349</v>
      </c>
      <c r="B71" s="31">
        <f>IFERROR(-PMT(Assumptions!$B$22/12,Assumptions!$B$23*12,B69)*12,"")</f>
        <v>121690.18079999962</v>
      </c>
    </row>
    <row r="72" spans="1:6" x14ac:dyDescent="0.25">
      <c r="A72" t="s">
        <v>350</v>
      </c>
      <c r="B72" s="40">
        <f>IFERROR(C61/B71,"")</f>
        <v>1.250000000000004</v>
      </c>
    </row>
    <row r="73" spans="1:6" x14ac:dyDescent="0.25">
      <c r="A73" t="s">
        <v>351</v>
      </c>
      <c r="B73" s="31">
        <f>IFERROR(C61-B71,"")</f>
        <v>30422.545200000401</v>
      </c>
    </row>
    <row r="74" spans="1:6" x14ac:dyDescent="0.25">
      <c r="A74" t="s">
        <v>352</v>
      </c>
      <c r="B74" s="39">
        <f>IFERROR(B73/B70,"")</f>
        <v>1.6642509657167466E-2</v>
      </c>
    </row>
    <row r="76" spans="1:6" x14ac:dyDescent="0.25">
      <c r="A76" s="26" t="s">
        <v>353</v>
      </c>
    </row>
  </sheetData>
  <hyperlinks>
    <hyperlink ref="A3" r:id="rId1" xr:uid="{00000000-0004-0000-1500-000000000000}"/>
  </hyperlinks>
  <pageMargins left="0.75" right="0.75" top="1" bottom="1" header="0.5" footer="0.5"/>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F76"/>
  <sheetViews>
    <sheetView showGridLines="0" workbookViewId="0">
      <pane ySplit="5" topLeftCell="A6" activePane="bottomLeft" state="frozen"/>
      <selection pane="bottomLeft"/>
    </sheetView>
  </sheetViews>
  <sheetFormatPr defaultRowHeight="15" x14ac:dyDescent="0.25"/>
  <cols>
    <col min="1" max="1" width="38" customWidth="1"/>
    <col min="2" max="5" width="16" customWidth="1"/>
    <col min="6" max="6" width="48" customWidth="1"/>
    <col min="7" max="7" width="12" customWidth="1"/>
  </cols>
  <sheetData>
    <row r="1" spans="1:3" ht="19.5" x14ac:dyDescent="0.3">
      <c r="A1" s="1" t="s">
        <v>138</v>
      </c>
    </row>
    <row r="2" spans="1:3" x14ac:dyDescent="0.25">
      <c r="A2" s="32" t="s">
        <v>370</v>
      </c>
    </row>
    <row r="3" spans="1:3" x14ac:dyDescent="0.25">
      <c r="A3" s="33" t="s">
        <v>271</v>
      </c>
      <c r="B3" s="26" t="s">
        <v>272</v>
      </c>
    </row>
    <row r="4" spans="1:3" x14ac:dyDescent="0.25">
      <c r="A4" s="47" t="s">
        <v>429</v>
      </c>
    </row>
    <row r="6" spans="1:3" x14ac:dyDescent="0.25">
      <c r="A6" s="34" t="s">
        <v>273</v>
      </c>
      <c r="B6" s="35"/>
      <c r="C6" s="35"/>
    </row>
    <row r="7" spans="1:3" x14ac:dyDescent="0.25">
      <c r="A7" t="s">
        <v>7</v>
      </c>
      <c r="B7" s="36">
        <v>42</v>
      </c>
    </row>
    <row r="8" spans="1:3" x14ac:dyDescent="0.25">
      <c r="A8" t="s">
        <v>274</v>
      </c>
      <c r="B8" s="36">
        <v>25050</v>
      </c>
    </row>
    <row r="9" spans="1:3" x14ac:dyDescent="0.25">
      <c r="A9" t="s">
        <v>10</v>
      </c>
      <c r="B9" s="36">
        <v>29185</v>
      </c>
    </row>
    <row r="10" spans="1:3" x14ac:dyDescent="0.25">
      <c r="A10" t="s">
        <v>275</v>
      </c>
      <c r="B10" s="37">
        <v>0.67</v>
      </c>
    </row>
    <row r="11" spans="1:3" x14ac:dyDescent="0.25">
      <c r="A11" t="s">
        <v>8</v>
      </c>
      <c r="B11">
        <v>1948</v>
      </c>
    </row>
    <row r="12" spans="1:3" x14ac:dyDescent="0.25">
      <c r="A12" t="s">
        <v>276</v>
      </c>
      <c r="B12" t="s">
        <v>355</v>
      </c>
    </row>
    <row r="13" spans="1:3" x14ac:dyDescent="0.25">
      <c r="A13" t="s">
        <v>278</v>
      </c>
      <c r="B13" t="s">
        <v>430</v>
      </c>
    </row>
    <row r="14" spans="1:3" x14ac:dyDescent="0.25">
      <c r="A14" t="s">
        <v>280</v>
      </c>
      <c r="B14" t="s">
        <v>139</v>
      </c>
    </row>
    <row r="15" spans="1:3" x14ac:dyDescent="0.25">
      <c r="A15" t="s">
        <v>281</v>
      </c>
      <c r="B15" t="s">
        <v>431</v>
      </c>
    </row>
    <row r="16" spans="1:3" x14ac:dyDescent="0.25">
      <c r="A16" t="s">
        <v>283</v>
      </c>
      <c r="B16" s="31">
        <v>2126761</v>
      </c>
    </row>
    <row r="17" spans="1:6" x14ac:dyDescent="0.25">
      <c r="A17" t="s">
        <v>284</v>
      </c>
      <c r="B17" t="s">
        <v>140</v>
      </c>
    </row>
    <row r="18" spans="1:6" x14ac:dyDescent="0.25">
      <c r="A18" t="s">
        <v>285</v>
      </c>
      <c r="B18" t="s">
        <v>141</v>
      </c>
    </row>
    <row r="19" spans="1:6" x14ac:dyDescent="0.25">
      <c r="A19" t="s">
        <v>286</v>
      </c>
      <c r="B19" t="s">
        <v>78</v>
      </c>
    </row>
    <row r="21" spans="1:6" x14ac:dyDescent="0.25">
      <c r="A21" s="34" t="s">
        <v>287</v>
      </c>
      <c r="B21" s="35"/>
      <c r="C21" s="35"/>
    </row>
    <row r="22" spans="1:6" x14ac:dyDescent="0.25">
      <c r="A22" t="s">
        <v>11</v>
      </c>
      <c r="B22" s="28">
        <v>8995000</v>
      </c>
    </row>
    <row r="23" spans="1:6" x14ac:dyDescent="0.25">
      <c r="A23" t="s">
        <v>288</v>
      </c>
      <c r="B23" s="31">
        <f>IFERROR(B22/B7,"")</f>
        <v>214166.66666666666</v>
      </c>
    </row>
    <row r="24" spans="1:6" x14ac:dyDescent="0.25">
      <c r="A24" t="s">
        <v>289</v>
      </c>
      <c r="B24" s="38">
        <f>IFERROR(B22/B8,"")</f>
        <v>359.08183632734529</v>
      </c>
    </row>
    <row r="25" spans="1:6" x14ac:dyDescent="0.25">
      <c r="A25" t="s">
        <v>290</v>
      </c>
      <c r="B25" s="39">
        <v>5.0900000000000001E-2</v>
      </c>
    </row>
    <row r="26" spans="1:6" x14ac:dyDescent="0.25">
      <c r="A26" t="s">
        <v>291</v>
      </c>
      <c r="B26" s="40">
        <v>10.5</v>
      </c>
    </row>
    <row r="28" spans="1:6" x14ac:dyDescent="0.25">
      <c r="A28" s="34" t="s">
        <v>292</v>
      </c>
      <c r="B28" s="35"/>
      <c r="C28" s="35"/>
      <c r="D28" s="35"/>
      <c r="E28" s="35"/>
      <c r="F28" s="35"/>
    </row>
    <row r="29" spans="1:6" x14ac:dyDescent="0.25">
      <c r="A29" s="41" t="s">
        <v>293</v>
      </c>
      <c r="B29" s="41" t="s">
        <v>294</v>
      </c>
      <c r="C29" s="41" t="s">
        <v>295</v>
      </c>
      <c r="D29" s="41" t="s">
        <v>296</v>
      </c>
      <c r="E29" s="41" t="s">
        <v>297</v>
      </c>
      <c r="F29" s="41" t="s">
        <v>298</v>
      </c>
    </row>
    <row r="30" spans="1:6" x14ac:dyDescent="0.25">
      <c r="A30" t="s">
        <v>400</v>
      </c>
      <c r="B30" s="36">
        <v>8</v>
      </c>
      <c r="C30" s="48">
        <v>1228</v>
      </c>
      <c r="D30" s="31">
        <f>B30*C30</f>
        <v>9824</v>
      </c>
      <c r="E30" s="31">
        <f>D30*12</f>
        <v>117888</v>
      </c>
      <c r="F30" s="26" t="s">
        <v>45</v>
      </c>
    </row>
    <row r="31" spans="1:6" x14ac:dyDescent="0.25">
      <c r="A31" t="s">
        <v>302</v>
      </c>
      <c r="B31" s="36">
        <v>32</v>
      </c>
      <c r="C31" s="48">
        <v>1754</v>
      </c>
      <c r="D31" s="31">
        <f>B31*C31</f>
        <v>56128</v>
      </c>
      <c r="E31" s="31">
        <f>D31*12</f>
        <v>673536</v>
      </c>
      <c r="F31" s="26" t="s">
        <v>45</v>
      </c>
    </row>
    <row r="32" spans="1:6" x14ac:dyDescent="0.25">
      <c r="A32" t="s">
        <v>301</v>
      </c>
      <c r="B32" s="36">
        <v>1</v>
      </c>
      <c r="C32" s="48">
        <v>2368</v>
      </c>
      <c r="D32" s="31">
        <f>B32*C32</f>
        <v>2368</v>
      </c>
      <c r="E32" s="31">
        <f>D32*12</f>
        <v>28416</v>
      </c>
      <c r="F32" s="26" t="s">
        <v>45</v>
      </c>
    </row>
    <row r="33" spans="1:6" x14ac:dyDescent="0.25">
      <c r="A33" t="s">
        <v>432</v>
      </c>
      <c r="B33" s="36">
        <v>1</v>
      </c>
      <c r="C33" s="48">
        <v>3070</v>
      </c>
      <c r="D33" s="31">
        <f>B33*C33</f>
        <v>3070</v>
      </c>
      <c r="E33" s="31">
        <f>D33*12</f>
        <v>36840</v>
      </c>
      <c r="F33" s="26" t="s">
        <v>45</v>
      </c>
    </row>
    <row r="34" spans="1:6" x14ac:dyDescent="0.25">
      <c r="A34" s="42" t="s">
        <v>303</v>
      </c>
      <c r="B34" s="43">
        <f>SUM(B30:B33)</f>
        <v>42</v>
      </c>
      <c r="C34" s="44">
        <f>IFERROR(D34/B34,"")</f>
        <v>1699.7619047619048</v>
      </c>
      <c r="D34" s="44">
        <f>SUM(D30:D33)</f>
        <v>71390</v>
      </c>
      <c r="E34" s="44">
        <f>SUM(E30:E33)</f>
        <v>856680</v>
      </c>
    </row>
    <row r="36" spans="1:6" x14ac:dyDescent="0.25">
      <c r="A36" s="34" t="s">
        <v>304</v>
      </c>
      <c r="B36" s="35"/>
      <c r="C36" s="35"/>
      <c r="D36" s="35"/>
      <c r="E36" s="35"/>
      <c r="F36" s="35"/>
    </row>
    <row r="37" spans="1:6" x14ac:dyDescent="0.25">
      <c r="A37" s="45"/>
      <c r="B37" s="45" t="s">
        <v>305</v>
      </c>
      <c r="C37" s="45" t="s">
        <v>306</v>
      </c>
      <c r="D37" s="45"/>
      <c r="E37" s="45"/>
      <c r="F37" s="45" t="s">
        <v>307</v>
      </c>
    </row>
    <row r="38" spans="1:6" x14ac:dyDescent="0.25">
      <c r="A38" t="s">
        <v>308</v>
      </c>
      <c r="B38" s="31">
        <v>856666.66666666663</v>
      </c>
      <c r="C38" s="31">
        <f>E34</f>
        <v>856680</v>
      </c>
      <c r="F38" s="26" t="s">
        <v>309</v>
      </c>
    </row>
    <row r="39" spans="1:6" x14ac:dyDescent="0.25">
      <c r="A39" t="s">
        <v>310</v>
      </c>
      <c r="B39" s="31">
        <v>0</v>
      </c>
      <c r="C39" s="28">
        <v>0</v>
      </c>
    </row>
    <row r="40" spans="1:6" x14ac:dyDescent="0.25">
      <c r="A40" s="42" t="s">
        <v>311</v>
      </c>
      <c r="B40" s="31">
        <f>B38+B39</f>
        <v>856666.66666666663</v>
      </c>
      <c r="C40" s="31">
        <f>C38+C39</f>
        <v>856680</v>
      </c>
    </row>
    <row r="41" spans="1:6" x14ac:dyDescent="0.25">
      <c r="A41" t="s">
        <v>312</v>
      </c>
      <c r="B41" s="31">
        <f>-B38*0.03</f>
        <v>-25699.999999999996</v>
      </c>
      <c r="C41" s="31">
        <f>-C38*Assumptions!$B$3</f>
        <v>-25700.399999999998</v>
      </c>
      <c r="F41" s="26" t="s">
        <v>313</v>
      </c>
    </row>
    <row r="42" spans="1:6" x14ac:dyDescent="0.25">
      <c r="A42" s="42" t="s">
        <v>314</v>
      </c>
      <c r="B42" s="44">
        <f>B40+B41</f>
        <v>830966.66666666663</v>
      </c>
      <c r="C42" s="44">
        <f>C40+C41</f>
        <v>830979.6</v>
      </c>
    </row>
    <row r="44" spans="1:6" x14ac:dyDescent="0.25">
      <c r="A44" s="34" t="s">
        <v>315</v>
      </c>
      <c r="B44" s="35"/>
      <c r="C44" s="35"/>
      <c r="D44" s="35"/>
      <c r="E44" s="35"/>
      <c r="F44" s="35"/>
    </row>
    <row r="45" spans="1:6" x14ac:dyDescent="0.25">
      <c r="A45" s="45" t="s">
        <v>316</v>
      </c>
      <c r="B45" s="45" t="s">
        <v>305</v>
      </c>
      <c r="C45" s="45" t="s">
        <v>317</v>
      </c>
      <c r="D45" s="45" t="s">
        <v>306</v>
      </c>
      <c r="E45" s="45" t="s">
        <v>318</v>
      </c>
      <c r="F45" s="45" t="s">
        <v>307</v>
      </c>
    </row>
    <row r="46" spans="1:6" x14ac:dyDescent="0.25">
      <c r="A46" t="s">
        <v>319</v>
      </c>
      <c r="B46" s="31"/>
      <c r="C46" s="31">
        <f>B22*Assumptions!$B$15</f>
        <v>112437.5</v>
      </c>
      <c r="D46" s="46">
        <f>C46</f>
        <v>112437.5</v>
      </c>
      <c r="E46" s="31" t="str">
        <f t="shared" ref="E46:E54" si="0">IF(ISNUMBER(B46),D46-B46,"")</f>
        <v/>
      </c>
      <c r="F46" s="26" t="s">
        <v>358</v>
      </c>
    </row>
    <row r="47" spans="1:6" x14ac:dyDescent="0.25">
      <c r="A47" t="s">
        <v>321</v>
      </c>
      <c r="B47" s="31"/>
      <c r="C47" s="31">
        <f>B7*Assumptions!$B$5+B8*Assumptions!$B$6</f>
        <v>33450</v>
      </c>
      <c r="D47" s="46">
        <f t="shared" ref="D47:D53" si="1">IF(ISNUMBER(B47),MAX(B47,C47),C47)</f>
        <v>33450</v>
      </c>
      <c r="E47" s="31" t="str">
        <f t="shared" si="0"/>
        <v/>
      </c>
      <c r="F47" s="26" t="s">
        <v>322</v>
      </c>
    </row>
    <row r="48" spans="1:6" x14ac:dyDescent="0.25">
      <c r="A48" t="s">
        <v>323</v>
      </c>
      <c r="B48" s="31"/>
      <c r="C48" s="31">
        <f>C42*Assumptions!$B$4</f>
        <v>41548.980000000003</v>
      </c>
      <c r="D48" s="46">
        <f t="shared" si="1"/>
        <v>41548.980000000003</v>
      </c>
      <c r="E48" s="31" t="str">
        <f t="shared" si="0"/>
        <v/>
      </c>
      <c r="F48" s="26" t="s">
        <v>324</v>
      </c>
    </row>
    <row r="49" spans="1:6" x14ac:dyDescent="0.25">
      <c r="A49" t="s">
        <v>325</v>
      </c>
      <c r="B49" s="31"/>
      <c r="C49" s="31">
        <f>B7*Assumptions!$B$7</f>
        <v>50400</v>
      </c>
      <c r="D49" s="46">
        <f t="shared" si="1"/>
        <v>50400</v>
      </c>
      <c r="E49" s="31" t="str">
        <f t="shared" si="0"/>
        <v/>
      </c>
      <c r="F49" s="26" t="s">
        <v>326</v>
      </c>
    </row>
    <row r="50" spans="1:6" x14ac:dyDescent="0.25">
      <c r="A50" t="s">
        <v>327</v>
      </c>
      <c r="B50" s="31"/>
      <c r="C50" s="31">
        <f>B7*Assumptions!$B$9</f>
        <v>63000</v>
      </c>
      <c r="D50" s="46">
        <f t="shared" si="1"/>
        <v>63000</v>
      </c>
      <c r="E50" s="31" t="str">
        <f t="shared" si="0"/>
        <v/>
      </c>
      <c r="F50" s="26" t="s">
        <v>328</v>
      </c>
    </row>
    <row r="51" spans="1:6" x14ac:dyDescent="0.25">
      <c r="A51" t="s">
        <v>329</v>
      </c>
      <c r="B51" s="31"/>
      <c r="C51" s="31">
        <f>B7*Assumptions!$B$12</f>
        <v>16800</v>
      </c>
      <c r="D51" s="46">
        <f t="shared" si="1"/>
        <v>16800</v>
      </c>
      <c r="E51" s="31" t="str">
        <f t="shared" si="0"/>
        <v/>
      </c>
      <c r="F51" s="26" t="s">
        <v>330</v>
      </c>
    </row>
    <row r="52" spans="1:6" x14ac:dyDescent="0.25">
      <c r="A52" t="s">
        <v>331</v>
      </c>
      <c r="B52" s="31"/>
      <c r="C52" s="31">
        <f>B7*Assumptions!$B$13</f>
        <v>10500</v>
      </c>
      <c r="D52" s="46">
        <f t="shared" si="1"/>
        <v>10500</v>
      </c>
      <c r="E52" s="31" t="str">
        <f t="shared" si="0"/>
        <v/>
      </c>
      <c r="F52" s="26" t="s">
        <v>332</v>
      </c>
    </row>
    <row r="53" spans="1:6" x14ac:dyDescent="0.25">
      <c r="A53" t="s">
        <v>333</v>
      </c>
      <c r="B53" s="31"/>
      <c r="C53" s="31">
        <f>B7*Assumptions!$B$14</f>
        <v>12600</v>
      </c>
      <c r="D53" s="46">
        <f t="shared" si="1"/>
        <v>12600</v>
      </c>
      <c r="E53" s="31" t="str">
        <f t="shared" si="0"/>
        <v/>
      </c>
      <c r="F53" s="26" t="s">
        <v>330</v>
      </c>
    </row>
    <row r="54" spans="1:6" x14ac:dyDescent="0.25">
      <c r="A54" s="42" t="s">
        <v>334</v>
      </c>
      <c r="B54" s="44">
        <f>B42-B22*B25</f>
        <v>373121.16666666663</v>
      </c>
      <c r="C54" s="44">
        <f>SUM(C46:C53)</f>
        <v>340736.48</v>
      </c>
      <c r="D54" s="44">
        <f>SUM(D46:D53)</f>
        <v>340736.48</v>
      </c>
      <c r="E54" s="44">
        <f t="shared" si="0"/>
        <v>-32384.686666666646</v>
      </c>
      <c r="F54" s="26" t="s">
        <v>335</v>
      </c>
    </row>
    <row r="55" spans="1:6" x14ac:dyDescent="0.25">
      <c r="A55" t="s">
        <v>336</v>
      </c>
      <c r="B55" s="31">
        <f>IFERROR(B54/B7,"")</f>
        <v>8883.8373015873003</v>
      </c>
      <c r="C55" s="31">
        <f>IFERROR(C54/B7,"")</f>
        <v>8112.7733333333326</v>
      </c>
      <c r="D55" s="31">
        <f>IFERROR(D54/B7,"")</f>
        <v>8112.7733333333326</v>
      </c>
    </row>
    <row r="56" spans="1:6" x14ac:dyDescent="0.25">
      <c r="A56" t="s">
        <v>337</v>
      </c>
      <c r="B56" s="39">
        <f>IFERROR(B54/B42,"")</f>
        <v>0.449020618556701</v>
      </c>
      <c r="C56" s="39">
        <f>IFERROR(C54/C42,"")</f>
        <v>0.41004193123393162</v>
      </c>
      <c r="D56" s="39">
        <f>IF(C38&gt;0,IFERROR(D54/C42,""),"")</f>
        <v>0.41004193123393162</v>
      </c>
    </row>
    <row r="57" spans="1:6" x14ac:dyDescent="0.25">
      <c r="A57" s="42" t="s">
        <v>18</v>
      </c>
      <c r="B57" s="47" t="str">
        <f>IF(ISNUMBER(B54),IF(D54&gt;B54*(1+Assumptions!$B$24),"OM EXPENSES LIGHT","OM expenses reasonable"),"OM expenses not published")</f>
        <v>OM expenses reasonable</v>
      </c>
    </row>
    <row r="59" spans="1:6" x14ac:dyDescent="0.25">
      <c r="A59" s="34" t="s">
        <v>338</v>
      </c>
      <c r="B59" s="35"/>
      <c r="C59" s="35"/>
      <c r="D59" s="35"/>
      <c r="E59" s="35"/>
      <c r="F59" s="35"/>
    </row>
    <row r="60" spans="1:6" x14ac:dyDescent="0.25">
      <c r="A60" s="45"/>
      <c r="B60" s="45" t="s">
        <v>305</v>
      </c>
      <c r="C60" s="45" t="s">
        <v>306</v>
      </c>
      <c r="D60" s="45"/>
      <c r="E60" s="45"/>
      <c r="F60" s="45" t="s">
        <v>307</v>
      </c>
    </row>
    <row r="61" spans="1:6" x14ac:dyDescent="0.25">
      <c r="A61" s="42" t="s">
        <v>339</v>
      </c>
      <c r="B61" s="44">
        <f>B42-B54</f>
        <v>457845.5</v>
      </c>
      <c r="C61" s="44">
        <f>IF(C38&gt;0,C42-D54,"")</f>
        <v>490243.12</v>
      </c>
    </row>
    <row r="62" spans="1:6" x14ac:dyDescent="0.25">
      <c r="A62" s="42" t="s">
        <v>340</v>
      </c>
      <c r="B62" s="39">
        <f>IFERROR(B61/B22,"")</f>
        <v>5.0900000000000001E-2</v>
      </c>
      <c r="C62" s="39">
        <f>IF(C61="","",IFERROR(C61/B22,""))</f>
        <v>5.450173652028905E-2</v>
      </c>
      <c r="F62" s="26" t="s">
        <v>341</v>
      </c>
    </row>
    <row r="63" spans="1:6" x14ac:dyDescent="0.25">
      <c r="A63" t="s">
        <v>342</v>
      </c>
      <c r="B63" s="40">
        <f>IFERROR(B22/B38,"")</f>
        <v>10.5</v>
      </c>
      <c r="C63" s="40">
        <f>IF(C38&gt;0,IFERROR(B22/C38,""),"")</f>
        <v>10.499836578419012</v>
      </c>
    </row>
    <row r="64" spans="1:6" x14ac:dyDescent="0.25">
      <c r="A64" t="s">
        <v>343</v>
      </c>
      <c r="B64" s="31">
        <f>IFERROR(B61/B7,"")</f>
        <v>10901.083333333334</v>
      </c>
      <c r="C64" s="31">
        <f>IF(C61="","",IFERROR(C61/B7,""))</f>
        <v>11672.455238095237</v>
      </c>
    </row>
    <row r="66" spans="1:6" x14ac:dyDescent="0.25">
      <c r="A66" s="34" t="s">
        <v>344</v>
      </c>
      <c r="B66" s="35"/>
      <c r="C66" s="35"/>
      <c r="D66" s="35"/>
      <c r="E66" s="35"/>
      <c r="F66" s="35"/>
    </row>
    <row r="67" spans="1:6" x14ac:dyDescent="0.25">
      <c r="A67" t="s">
        <v>345</v>
      </c>
      <c r="B67" s="31">
        <f>IFERROR(B22*Assumptions!$B$20,"")</f>
        <v>5397000</v>
      </c>
    </row>
    <row r="68" spans="1:6" x14ac:dyDescent="0.25">
      <c r="A68" t="s">
        <v>346</v>
      </c>
      <c r="B68" s="31">
        <f>IF(C61="","",IFERROR(PV(Assumptions!$B$22/12,Assumptions!$B$23*12,-C61/Assumptions!$B$21/12),""))</f>
        <v>5308098.3678924805</v>
      </c>
    </row>
    <row r="69" spans="1:6" x14ac:dyDescent="0.25">
      <c r="A69" s="42" t="s">
        <v>347</v>
      </c>
      <c r="B69" s="31">
        <f>IFERROR(MIN(B67,B68),"")</f>
        <v>5308098.3678924805</v>
      </c>
    </row>
    <row r="70" spans="1:6" x14ac:dyDescent="0.25">
      <c r="A70" t="s">
        <v>348</v>
      </c>
      <c r="B70" s="31">
        <f>IFERROR(B22-B69,"")</f>
        <v>3686901.6321075195</v>
      </c>
    </row>
    <row r="71" spans="1:6" x14ac:dyDescent="0.25">
      <c r="A71" t="s">
        <v>349</v>
      </c>
      <c r="B71" s="31">
        <f>IFERROR(-PMT(Assumptions!$B$22/12,Assumptions!$B$23*12,B69)*12,"")</f>
        <v>392194.49599999876</v>
      </c>
    </row>
    <row r="72" spans="1:6" x14ac:dyDescent="0.25">
      <c r="A72" t="s">
        <v>350</v>
      </c>
      <c r="B72" s="40">
        <f>IFERROR(C61/B71,"")</f>
        <v>1.250000000000004</v>
      </c>
    </row>
    <row r="73" spans="1:6" x14ac:dyDescent="0.25">
      <c r="A73" t="s">
        <v>351</v>
      </c>
      <c r="B73" s="31">
        <f>IFERROR(C61-B71,"")</f>
        <v>98048.624000001233</v>
      </c>
    </row>
    <row r="74" spans="1:6" x14ac:dyDescent="0.25">
      <c r="A74" t="s">
        <v>352</v>
      </c>
      <c r="B74" s="39">
        <f>IFERROR(B73/B70,"")</f>
        <v>2.6593772707723243E-2</v>
      </c>
    </row>
    <row r="76" spans="1:6" x14ac:dyDescent="0.25">
      <c r="A76" s="26" t="s">
        <v>353</v>
      </c>
    </row>
  </sheetData>
  <hyperlinks>
    <hyperlink ref="A3" r:id="rId1" xr:uid="{00000000-0004-0000-1600-000000000000}"/>
  </hyperlinks>
  <pageMargins left="0.75" right="0.75" top="1" bottom="1" header="0.5" footer="0.5"/>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F75"/>
  <sheetViews>
    <sheetView showGridLines="0" workbookViewId="0">
      <pane ySplit="5" topLeftCell="A6" activePane="bottomLeft" state="frozen"/>
      <selection pane="bottomLeft"/>
    </sheetView>
  </sheetViews>
  <sheetFormatPr defaultRowHeight="15" x14ac:dyDescent="0.25"/>
  <cols>
    <col min="1" max="1" width="38" customWidth="1"/>
    <col min="2" max="5" width="16" customWidth="1"/>
    <col min="6" max="6" width="48" customWidth="1"/>
    <col min="7" max="7" width="12" customWidth="1"/>
  </cols>
  <sheetData>
    <row r="1" spans="1:3" ht="19.5" x14ac:dyDescent="0.3">
      <c r="A1" s="1" t="s">
        <v>143</v>
      </c>
    </row>
    <row r="2" spans="1:3" x14ac:dyDescent="0.25">
      <c r="A2" s="32" t="s">
        <v>270</v>
      </c>
    </row>
    <row r="3" spans="1:3" x14ac:dyDescent="0.25">
      <c r="A3" s="33" t="s">
        <v>271</v>
      </c>
      <c r="B3" s="26" t="s">
        <v>561</v>
      </c>
    </row>
    <row r="4" spans="1:3" x14ac:dyDescent="0.25">
      <c r="A4" s="53" t="s">
        <v>569</v>
      </c>
    </row>
    <row r="6" spans="1:3" x14ac:dyDescent="0.25">
      <c r="A6" s="34" t="s">
        <v>273</v>
      </c>
      <c r="B6" s="35"/>
      <c r="C6" s="35"/>
    </row>
    <row r="7" spans="1:3" x14ac:dyDescent="0.25">
      <c r="A7" t="s">
        <v>7</v>
      </c>
      <c r="B7" s="36">
        <v>20</v>
      </c>
    </row>
    <row r="8" spans="1:3" x14ac:dyDescent="0.25">
      <c r="A8" t="s">
        <v>274</v>
      </c>
      <c r="B8" s="36">
        <v>15006</v>
      </c>
    </row>
    <row r="9" spans="1:3" x14ac:dyDescent="0.25">
      <c r="A9" t="s">
        <v>10</v>
      </c>
      <c r="B9" s="36">
        <v>14810</v>
      </c>
    </row>
    <row r="10" spans="1:3" x14ac:dyDescent="0.25">
      <c r="A10" t="s">
        <v>275</v>
      </c>
      <c r="B10" s="37">
        <v>0.34</v>
      </c>
    </row>
    <row r="11" spans="1:3" x14ac:dyDescent="0.25">
      <c r="A11" t="s">
        <v>8</v>
      </c>
      <c r="B11">
        <v>1954</v>
      </c>
    </row>
    <row r="12" spans="1:3" x14ac:dyDescent="0.25">
      <c r="A12" t="s">
        <v>276</v>
      </c>
      <c r="B12" t="s">
        <v>355</v>
      </c>
    </row>
    <row r="13" spans="1:3" x14ac:dyDescent="0.25">
      <c r="A13" t="s">
        <v>278</v>
      </c>
      <c r="B13" t="s">
        <v>433</v>
      </c>
    </row>
    <row r="14" spans="1:3" x14ac:dyDescent="0.25">
      <c r="A14" t="s">
        <v>280</v>
      </c>
    </row>
    <row r="15" spans="1:3" x14ac:dyDescent="0.25">
      <c r="A15" t="s">
        <v>281</v>
      </c>
      <c r="B15" t="s">
        <v>434</v>
      </c>
    </row>
    <row r="16" spans="1:3" x14ac:dyDescent="0.25">
      <c r="A16" t="s">
        <v>283</v>
      </c>
      <c r="B16" s="31">
        <v>9991928</v>
      </c>
    </row>
    <row r="17" spans="1:6" x14ac:dyDescent="0.25">
      <c r="A17" t="s">
        <v>284</v>
      </c>
      <c r="B17" t="s">
        <v>144</v>
      </c>
    </row>
    <row r="18" spans="1:6" x14ac:dyDescent="0.25">
      <c r="A18" t="s">
        <v>285</v>
      </c>
      <c r="B18" t="s">
        <v>108</v>
      </c>
    </row>
    <row r="19" spans="1:6" x14ac:dyDescent="0.25">
      <c r="A19" t="s">
        <v>286</v>
      </c>
      <c r="B19" t="s">
        <v>51</v>
      </c>
    </row>
    <row r="21" spans="1:6" x14ac:dyDescent="0.25">
      <c r="A21" s="34" t="s">
        <v>287</v>
      </c>
      <c r="B21" s="35"/>
      <c r="C21" s="35"/>
    </row>
    <row r="22" spans="1:6" x14ac:dyDescent="0.25">
      <c r="A22" t="s">
        <v>11</v>
      </c>
      <c r="B22" s="28">
        <v>7795000</v>
      </c>
    </row>
    <row r="23" spans="1:6" x14ac:dyDescent="0.25">
      <c r="A23" t="s">
        <v>288</v>
      </c>
      <c r="B23" s="31">
        <f>IFERROR(B22/B7,"")</f>
        <v>389750</v>
      </c>
    </row>
    <row r="24" spans="1:6" x14ac:dyDescent="0.25">
      <c r="A24" t="s">
        <v>289</v>
      </c>
      <c r="B24" s="38">
        <f>IFERROR(B22/B8,"")</f>
        <v>519.45888311342128</v>
      </c>
    </row>
    <row r="25" spans="1:6" x14ac:dyDescent="0.25">
      <c r="A25" t="s">
        <v>290</v>
      </c>
      <c r="B25" s="39">
        <v>5.0700000000000002E-2</v>
      </c>
    </row>
    <row r="26" spans="1:6" x14ac:dyDescent="0.25">
      <c r="A26" t="s">
        <v>291</v>
      </c>
      <c r="B26" s="40">
        <v>12.34</v>
      </c>
    </row>
    <row r="28" spans="1:6" x14ac:dyDescent="0.25">
      <c r="A28" s="34" t="s">
        <v>292</v>
      </c>
      <c r="B28" s="35"/>
      <c r="C28" s="35"/>
      <c r="D28" s="35"/>
      <c r="E28" s="35"/>
      <c r="F28" s="35"/>
    </row>
    <row r="29" spans="1:6" x14ac:dyDescent="0.25">
      <c r="A29" s="41" t="s">
        <v>293</v>
      </c>
      <c r="B29" s="41" t="s">
        <v>294</v>
      </c>
      <c r="C29" s="41" t="s">
        <v>295</v>
      </c>
      <c r="D29" s="41" t="s">
        <v>296</v>
      </c>
      <c r="E29" s="41" t="s">
        <v>297</v>
      </c>
      <c r="F29" s="41" t="s">
        <v>298</v>
      </c>
    </row>
    <row r="30" spans="1:6" x14ac:dyDescent="0.25">
      <c r="A30" t="s">
        <v>536</v>
      </c>
      <c r="B30" s="36">
        <v>2</v>
      </c>
      <c r="C30" s="56">
        <v>2298</v>
      </c>
      <c r="D30" s="51">
        <f>B30*C30</f>
        <v>4596</v>
      </c>
      <c r="E30" s="51">
        <f>D30*12</f>
        <v>55152</v>
      </c>
      <c r="F30" s="52" t="s">
        <v>545</v>
      </c>
    </row>
    <row r="31" spans="1:6" x14ac:dyDescent="0.25">
      <c r="A31" t="s">
        <v>537</v>
      </c>
      <c r="B31" s="36">
        <v>16</v>
      </c>
      <c r="C31" s="56">
        <v>2465</v>
      </c>
      <c r="D31" s="51">
        <f>B31*C31</f>
        <v>39440</v>
      </c>
      <c r="E31" s="51">
        <f>D31*12</f>
        <v>473280</v>
      </c>
      <c r="F31" s="52" t="s">
        <v>545</v>
      </c>
    </row>
    <row r="32" spans="1:6" x14ac:dyDescent="0.25">
      <c r="A32" t="s">
        <v>538</v>
      </c>
      <c r="B32" s="36">
        <v>2</v>
      </c>
      <c r="C32" s="56">
        <v>3204</v>
      </c>
      <c r="D32" s="51">
        <f>B32*C32</f>
        <v>6408</v>
      </c>
      <c r="E32" s="51">
        <f>D32*12</f>
        <v>76896</v>
      </c>
      <c r="F32" s="52" t="s">
        <v>545</v>
      </c>
    </row>
    <row r="33" spans="1:6" x14ac:dyDescent="0.25">
      <c r="A33" s="42" t="s">
        <v>303</v>
      </c>
      <c r="B33" s="43">
        <f>SUM(B30:B32)</f>
        <v>20</v>
      </c>
      <c r="C33" s="44">
        <f>IFERROR(D33/B33,"")</f>
        <v>2522.1999999999998</v>
      </c>
      <c r="D33" s="44">
        <f>SUM(D30:D32)</f>
        <v>50444</v>
      </c>
      <c r="E33" s="44">
        <f>SUM(E30:E32)</f>
        <v>605328</v>
      </c>
    </row>
    <row r="35" spans="1:6" x14ac:dyDescent="0.25">
      <c r="A35" s="34" t="s">
        <v>304</v>
      </c>
      <c r="B35" s="35"/>
      <c r="C35" s="35"/>
      <c r="D35" s="35"/>
      <c r="E35" s="35"/>
      <c r="F35" s="35"/>
    </row>
    <row r="36" spans="1:6" x14ac:dyDescent="0.25">
      <c r="A36" s="45"/>
      <c r="B36" s="45" t="s">
        <v>305</v>
      </c>
      <c r="C36" s="45" t="s">
        <v>306</v>
      </c>
      <c r="D36" s="45"/>
      <c r="E36" s="45"/>
      <c r="F36" s="45" t="s">
        <v>307</v>
      </c>
    </row>
    <row r="37" spans="1:6" x14ac:dyDescent="0.25">
      <c r="A37" t="s">
        <v>308</v>
      </c>
      <c r="B37" s="51">
        <v>605232</v>
      </c>
      <c r="C37" s="31">
        <f>E33</f>
        <v>605328</v>
      </c>
      <c r="F37" s="26" t="s">
        <v>546</v>
      </c>
    </row>
    <row r="38" spans="1:6" x14ac:dyDescent="0.25">
      <c r="A38" t="s">
        <v>310</v>
      </c>
      <c r="B38" s="31">
        <v>26400</v>
      </c>
      <c r="C38" s="28">
        <v>26400</v>
      </c>
    </row>
    <row r="39" spans="1:6" x14ac:dyDescent="0.25">
      <c r="A39" s="42" t="s">
        <v>311</v>
      </c>
      <c r="B39" s="31">
        <f>B37+B38</f>
        <v>631632</v>
      </c>
      <c r="C39" s="31">
        <f>C37+C38</f>
        <v>631728</v>
      </c>
    </row>
    <row r="40" spans="1:6" x14ac:dyDescent="0.25">
      <c r="A40" t="s">
        <v>312</v>
      </c>
      <c r="B40" s="31">
        <f>-B37*0.03</f>
        <v>-18156.96</v>
      </c>
      <c r="C40" s="31">
        <f>-C37*Assumptions!$B$3</f>
        <v>-18159.84</v>
      </c>
      <c r="F40" s="26" t="s">
        <v>499</v>
      </c>
    </row>
    <row r="41" spans="1:6" x14ac:dyDescent="0.25">
      <c r="A41" s="42" t="s">
        <v>314</v>
      </c>
      <c r="B41" s="44">
        <f>B39+B40</f>
        <v>613475.04</v>
      </c>
      <c r="C41" s="44">
        <f>C39+C40</f>
        <v>613568.16</v>
      </c>
    </row>
    <row r="43" spans="1:6" x14ac:dyDescent="0.25">
      <c r="A43" s="34" t="s">
        <v>315</v>
      </c>
      <c r="B43" s="35"/>
      <c r="C43" s="35"/>
      <c r="D43" s="35"/>
      <c r="E43" s="35"/>
      <c r="F43" s="35"/>
    </row>
    <row r="44" spans="1:6" x14ac:dyDescent="0.25">
      <c r="A44" s="45" t="s">
        <v>316</v>
      </c>
      <c r="B44" s="45" t="s">
        <v>305</v>
      </c>
      <c r="C44" s="45" t="s">
        <v>317</v>
      </c>
      <c r="D44" s="45" t="s">
        <v>306</v>
      </c>
      <c r="E44" s="45" t="s">
        <v>318</v>
      </c>
      <c r="F44" s="45" t="s">
        <v>307</v>
      </c>
    </row>
    <row r="45" spans="1:6" x14ac:dyDescent="0.25">
      <c r="A45" t="s">
        <v>319</v>
      </c>
      <c r="B45" s="51">
        <v>97438</v>
      </c>
      <c r="C45" s="31">
        <f>B22*Assumptions!$B$16</f>
        <v>89642.5</v>
      </c>
      <c r="D45" s="46">
        <f>C45</f>
        <v>89642.5</v>
      </c>
      <c r="E45" s="31">
        <f t="shared" ref="E45:E53" si="0">IF(ISNUMBER(B45),D45-B45,"")</f>
        <v>-7795.5</v>
      </c>
      <c r="F45" s="26" t="s">
        <v>320</v>
      </c>
    </row>
    <row r="46" spans="1:6" x14ac:dyDescent="0.25">
      <c r="A46" t="s">
        <v>321</v>
      </c>
      <c r="B46" s="51">
        <v>18498</v>
      </c>
      <c r="C46" s="31">
        <f>B7*Assumptions!$B$5+B8*Assumptions!$B$6</f>
        <v>19006</v>
      </c>
      <c r="D46" s="46">
        <f t="shared" ref="D46:D52" si="1">IF(ISNUMBER(B46),MAX(B46,C46),C46)</f>
        <v>19006</v>
      </c>
      <c r="E46" s="31">
        <f t="shared" si="0"/>
        <v>508</v>
      </c>
      <c r="F46" s="26" t="s">
        <v>322</v>
      </c>
    </row>
    <row r="47" spans="1:6" x14ac:dyDescent="0.25">
      <c r="A47" t="s">
        <v>323</v>
      </c>
      <c r="B47" s="51">
        <v>25265</v>
      </c>
      <c r="C47" s="31">
        <f>C41*Assumptions!$B$4</f>
        <v>30678.408000000003</v>
      </c>
      <c r="D47" s="46">
        <f t="shared" si="1"/>
        <v>30678.408000000003</v>
      </c>
      <c r="E47" s="31">
        <f t="shared" si="0"/>
        <v>5413.4080000000031</v>
      </c>
      <c r="F47" s="26" t="s">
        <v>324</v>
      </c>
    </row>
    <row r="48" spans="1:6" x14ac:dyDescent="0.25">
      <c r="A48" t="s">
        <v>325</v>
      </c>
      <c r="B48" s="51">
        <v>31280</v>
      </c>
      <c r="C48" s="31">
        <f>B7*Assumptions!$B$7</f>
        <v>24000</v>
      </c>
      <c r="D48" s="46">
        <f t="shared" si="1"/>
        <v>31280</v>
      </c>
      <c r="E48" s="31">
        <f t="shared" si="0"/>
        <v>0</v>
      </c>
      <c r="F48" s="26" t="s">
        <v>326</v>
      </c>
    </row>
    <row r="49" spans="1:6" x14ac:dyDescent="0.25">
      <c r="A49" t="s">
        <v>327</v>
      </c>
      <c r="B49" s="51">
        <v>20882</v>
      </c>
      <c r="C49" s="31">
        <f>B7*Assumptions!$B$10</f>
        <v>36000</v>
      </c>
      <c r="D49" s="46">
        <f t="shared" si="1"/>
        <v>36000</v>
      </c>
      <c r="E49" s="31">
        <f t="shared" si="0"/>
        <v>15118</v>
      </c>
      <c r="F49" s="26" t="s">
        <v>500</v>
      </c>
    </row>
    <row r="50" spans="1:6" x14ac:dyDescent="0.25">
      <c r="A50" t="s">
        <v>329</v>
      </c>
      <c r="B50" s="51">
        <v>3180</v>
      </c>
      <c r="C50" s="31">
        <f>B7*Assumptions!$B$12</f>
        <v>8000</v>
      </c>
      <c r="D50" s="46">
        <f t="shared" si="1"/>
        <v>8000</v>
      </c>
      <c r="E50" s="31">
        <f t="shared" si="0"/>
        <v>4820</v>
      </c>
      <c r="F50" s="26" t="s">
        <v>330</v>
      </c>
    </row>
    <row r="51" spans="1:6" x14ac:dyDescent="0.25">
      <c r="A51" t="s">
        <v>388</v>
      </c>
      <c r="B51" s="51">
        <v>21200</v>
      </c>
      <c r="C51" s="31">
        <f>B7*Assumptions!$B$13</f>
        <v>5000</v>
      </c>
      <c r="D51" s="46">
        <f t="shared" si="1"/>
        <v>21200</v>
      </c>
      <c r="E51" s="31">
        <f t="shared" si="0"/>
        <v>0</v>
      </c>
      <c r="F51" s="26" t="s">
        <v>539</v>
      </c>
    </row>
    <row r="52" spans="1:6" x14ac:dyDescent="0.25">
      <c r="A52" t="s">
        <v>333</v>
      </c>
      <c r="B52" s="51"/>
      <c r="C52" s="31">
        <f>B7*Assumptions!$B$14</f>
        <v>6000</v>
      </c>
      <c r="D52" s="46">
        <f t="shared" si="1"/>
        <v>6000</v>
      </c>
      <c r="E52" s="31" t="str">
        <f t="shared" si="0"/>
        <v/>
      </c>
      <c r="F52" s="26" t="s">
        <v>330</v>
      </c>
    </row>
    <row r="53" spans="1:6" x14ac:dyDescent="0.25">
      <c r="A53" s="42" t="s">
        <v>334</v>
      </c>
      <c r="B53" s="44">
        <f>SUM(B45:B52)</f>
        <v>217743</v>
      </c>
      <c r="C53" s="44">
        <f>SUM(C45:C52)</f>
        <v>218326.908</v>
      </c>
      <c r="D53" s="44">
        <f>SUM(D45:D52)</f>
        <v>241806.908</v>
      </c>
      <c r="E53" s="44">
        <f t="shared" si="0"/>
        <v>24063.907999999996</v>
      </c>
      <c r="F53" s="26" t="s">
        <v>560</v>
      </c>
    </row>
    <row r="54" spans="1:6" x14ac:dyDescent="0.25">
      <c r="A54" t="s">
        <v>336</v>
      </c>
      <c r="B54" s="31">
        <f>IFERROR(B53/B7,"")</f>
        <v>10887.15</v>
      </c>
      <c r="C54" s="31">
        <f>IFERROR(C53/B7,"")</f>
        <v>10916.3454</v>
      </c>
      <c r="D54" s="31">
        <f>IFERROR(D53/B7,"")</f>
        <v>12090.3454</v>
      </c>
    </row>
    <row r="55" spans="1:6" x14ac:dyDescent="0.25">
      <c r="A55" t="s">
        <v>337</v>
      </c>
      <c r="B55" s="39">
        <f>IFERROR(B53/B41,"")</f>
        <v>0.35493375574008679</v>
      </c>
      <c r="C55" s="39">
        <f>IFERROR(C53/C41,"")</f>
        <v>0.3558315477126453</v>
      </c>
      <c r="D55" s="39">
        <f>IF(C37&gt;0,IFERROR(D53/C41,""),"")</f>
        <v>0.39409950477221634</v>
      </c>
    </row>
    <row r="56" spans="1:6" x14ac:dyDescent="0.25">
      <c r="A56" s="42" t="s">
        <v>18</v>
      </c>
      <c r="B56" s="47" t="str">
        <f>IF(ISNUMBER(B53),IF(D53&gt;B53*(1+Assumptions!$B$24),"OM EXPENSES LIGHT","OM expenses reasonable"),"OM expenses not published")</f>
        <v>OM EXPENSES LIGHT</v>
      </c>
    </row>
    <row r="58" spans="1:6" x14ac:dyDescent="0.25">
      <c r="A58" s="34" t="s">
        <v>338</v>
      </c>
      <c r="B58" s="35"/>
      <c r="C58" s="35"/>
      <c r="D58" s="35"/>
      <c r="E58" s="35"/>
      <c r="F58" s="35"/>
    </row>
    <row r="59" spans="1:6" x14ac:dyDescent="0.25">
      <c r="A59" s="45"/>
      <c r="B59" s="45" t="s">
        <v>305</v>
      </c>
      <c r="C59" s="45" t="s">
        <v>306</v>
      </c>
      <c r="D59" s="45"/>
      <c r="E59" s="45"/>
      <c r="F59" s="45" t="s">
        <v>307</v>
      </c>
    </row>
    <row r="60" spans="1:6" x14ac:dyDescent="0.25">
      <c r="A60" s="42" t="s">
        <v>339</v>
      </c>
      <c r="B60" s="44">
        <f>B41-B53</f>
        <v>395732.04000000004</v>
      </c>
      <c r="C60" s="44">
        <f>IF(C37&gt;0,C41-D53,"")</f>
        <v>371761.25200000004</v>
      </c>
      <c r="F60" t="s">
        <v>540</v>
      </c>
    </row>
    <row r="61" spans="1:6" x14ac:dyDescent="0.25">
      <c r="A61" s="42" t="s">
        <v>340</v>
      </c>
      <c r="B61" s="39">
        <f>IFERROR(B60/B22,"")</f>
        <v>5.0767420141116106E-2</v>
      </c>
      <c r="C61" s="39">
        <f>IF(C60="","",IFERROR(C60/B22,""))</f>
        <v>4.7692270942912125E-2</v>
      </c>
      <c r="F61" s="26" t="s">
        <v>341</v>
      </c>
    </row>
    <row r="62" spans="1:6" x14ac:dyDescent="0.25">
      <c r="A62" t="s">
        <v>342</v>
      </c>
      <c r="B62" s="40">
        <f>IFERROR(B22/B37,"")</f>
        <v>12.879358659158802</v>
      </c>
      <c r="C62" s="40">
        <f>IF(C37&gt;0,IFERROR(B22/C37,""),"")</f>
        <v>12.87731609970132</v>
      </c>
    </row>
    <row r="63" spans="1:6" x14ac:dyDescent="0.25">
      <c r="A63" t="s">
        <v>343</v>
      </c>
      <c r="B63" s="31">
        <f>IFERROR(B60/B7,"")</f>
        <v>19786.602000000003</v>
      </c>
      <c r="C63" s="31">
        <f>IF(C60="","",IFERROR(C60/B7,""))</f>
        <v>18588.062600000001</v>
      </c>
    </row>
    <row r="65" spans="1:6" x14ac:dyDescent="0.25">
      <c r="A65" s="34" t="s">
        <v>344</v>
      </c>
      <c r="B65" s="35"/>
      <c r="C65" s="35"/>
      <c r="D65" s="35"/>
      <c r="E65" s="35"/>
      <c r="F65" s="35"/>
    </row>
    <row r="66" spans="1:6" x14ac:dyDescent="0.25">
      <c r="A66" t="s">
        <v>345</v>
      </c>
      <c r="B66" s="31">
        <f>IFERROR(B22*Assumptions!$B$20,"")</f>
        <v>4677000</v>
      </c>
    </row>
    <row r="67" spans="1:6" x14ac:dyDescent="0.25">
      <c r="A67" t="s">
        <v>346</v>
      </c>
      <c r="B67" s="31">
        <f>IF(C60="","",IFERROR(PV(Assumptions!$B$22/12,Assumptions!$B$23*12,-C60/Assumptions!$B$21/12),""))</f>
        <v>4025238.1206020089</v>
      </c>
    </row>
    <row r="68" spans="1:6" x14ac:dyDescent="0.25">
      <c r="A68" s="42" t="s">
        <v>347</v>
      </c>
      <c r="B68" s="31">
        <f>IFERROR(MIN(B66,B67),"")</f>
        <v>4025238.1206020089</v>
      </c>
    </row>
    <row r="69" spans="1:6" x14ac:dyDescent="0.25">
      <c r="A69" t="s">
        <v>348</v>
      </c>
      <c r="B69" s="31">
        <f>IFERROR(B22-B68,"")</f>
        <v>3769761.8793979911</v>
      </c>
    </row>
    <row r="70" spans="1:6" x14ac:dyDescent="0.25">
      <c r="A70" t="s">
        <v>349</v>
      </c>
      <c r="B70" s="31">
        <f>IFERROR(-PMT(Assumptions!$B$22/12,Assumptions!$B$23*12,B68)*12,"")</f>
        <v>297409.00159999909</v>
      </c>
    </row>
    <row r="71" spans="1:6" x14ac:dyDescent="0.25">
      <c r="A71" t="s">
        <v>350</v>
      </c>
      <c r="B71" s="40">
        <f>IFERROR(C60/B70,"")</f>
        <v>1.250000000000004</v>
      </c>
    </row>
    <row r="72" spans="1:6" x14ac:dyDescent="0.25">
      <c r="A72" t="s">
        <v>351</v>
      </c>
      <c r="B72" s="31">
        <f>IFERROR(C60-B70,"")</f>
        <v>74352.25040000095</v>
      </c>
    </row>
    <row r="73" spans="1:6" x14ac:dyDescent="0.25">
      <c r="A73" t="s">
        <v>352</v>
      </c>
      <c r="B73" s="39">
        <f>IFERROR(B72/B69,"")</f>
        <v>1.9723328098345184E-2</v>
      </c>
    </row>
    <row r="75" spans="1:6" x14ac:dyDescent="0.25">
      <c r="A75" s="26" t="s">
        <v>353</v>
      </c>
    </row>
  </sheetData>
  <hyperlinks>
    <hyperlink ref="A3" r:id="rId1" xr:uid="{00000000-0004-0000-1700-000000000000}"/>
  </hyperlinks>
  <pageMargins left="0.75" right="0.75" top="1" bottom="1" header="0.5" footer="0.5"/>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F76"/>
  <sheetViews>
    <sheetView showGridLines="0" workbookViewId="0">
      <pane ySplit="5" topLeftCell="A6" activePane="bottomLeft" state="frozen"/>
      <selection pane="bottomLeft"/>
    </sheetView>
  </sheetViews>
  <sheetFormatPr defaultRowHeight="15" x14ac:dyDescent="0.25"/>
  <cols>
    <col min="1" max="1" width="38" customWidth="1"/>
    <col min="2" max="5" width="16" customWidth="1"/>
    <col min="6" max="6" width="48" customWidth="1"/>
    <col min="7" max="7" width="12" customWidth="1"/>
  </cols>
  <sheetData>
    <row r="1" spans="1:3" ht="19.5" x14ac:dyDescent="0.3">
      <c r="A1" s="1" t="s">
        <v>146</v>
      </c>
    </row>
    <row r="2" spans="1:3" x14ac:dyDescent="0.25">
      <c r="A2" s="32" t="s">
        <v>435</v>
      </c>
    </row>
    <row r="3" spans="1:3" x14ac:dyDescent="0.25">
      <c r="A3" s="33" t="s">
        <v>271</v>
      </c>
      <c r="B3" s="26" t="s">
        <v>272</v>
      </c>
    </row>
    <row r="6" spans="1:3" x14ac:dyDescent="0.25">
      <c r="A6" s="34" t="s">
        <v>273</v>
      </c>
      <c r="B6" s="35"/>
      <c r="C6" s="35"/>
    </row>
    <row r="7" spans="1:3" x14ac:dyDescent="0.25">
      <c r="A7" t="s">
        <v>7</v>
      </c>
      <c r="B7" s="36">
        <v>13</v>
      </c>
    </row>
    <row r="8" spans="1:3" x14ac:dyDescent="0.25">
      <c r="A8" t="s">
        <v>274</v>
      </c>
      <c r="B8" s="36">
        <v>13131</v>
      </c>
    </row>
    <row r="9" spans="1:3" x14ac:dyDescent="0.25">
      <c r="A9" t="s">
        <v>10</v>
      </c>
      <c r="B9" s="36">
        <v>11761</v>
      </c>
    </row>
    <row r="10" spans="1:3" x14ac:dyDescent="0.25">
      <c r="A10" t="s">
        <v>275</v>
      </c>
      <c r="B10" s="37">
        <v>0.27</v>
      </c>
    </row>
    <row r="11" spans="1:3" x14ac:dyDescent="0.25">
      <c r="A11" t="s">
        <v>8</v>
      </c>
      <c r="B11">
        <v>1939</v>
      </c>
    </row>
    <row r="12" spans="1:3" x14ac:dyDescent="0.25">
      <c r="A12" t="s">
        <v>276</v>
      </c>
      <c r="B12" t="s">
        <v>355</v>
      </c>
    </row>
    <row r="13" spans="1:3" x14ac:dyDescent="0.25">
      <c r="A13" t="s">
        <v>278</v>
      </c>
      <c r="B13" t="s">
        <v>436</v>
      </c>
    </row>
    <row r="14" spans="1:3" x14ac:dyDescent="0.25">
      <c r="A14" t="s">
        <v>280</v>
      </c>
      <c r="B14" t="s">
        <v>63</v>
      </c>
    </row>
    <row r="15" spans="1:3" x14ac:dyDescent="0.25">
      <c r="A15" t="s">
        <v>281</v>
      </c>
      <c r="B15" t="s">
        <v>437</v>
      </c>
    </row>
    <row r="16" spans="1:3" x14ac:dyDescent="0.25">
      <c r="A16" t="s">
        <v>283</v>
      </c>
      <c r="B16" s="31">
        <v>2254000</v>
      </c>
    </row>
    <row r="17" spans="1:6" x14ac:dyDescent="0.25">
      <c r="A17" t="s">
        <v>284</v>
      </c>
      <c r="B17" t="s">
        <v>148</v>
      </c>
    </row>
    <row r="18" spans="1:6" x14ac:dyDescent="0.25">
      <c r="A18" t="s">
        <v>285</v>
      </c>
      <c r="B18" t="s">
        <v>149</v>
      </c>
    </row>
    <row r="19" spans="1:6" x14ac:dyDescent="0.25">
      <c r="A19" t="s">
        <v>286</v>
      </c>
      <c r="B19" t="s">
        <v>51</v>
      </c>
    </row>
    <row r="21" spans="1:6" x14ac:dyDescent="0.25">
      <c r="A21" s="34" t="s">
        <v>287</v>
      </c>
      <c r="B21" s="35"/>
      <c r="C21" s="35"/>
    </row>
    <row r="22" spans="1:6" x14ac:dyDescent="0.25">
      <c r="A22" t="s">
        <v>11</v>
      </c>
      <c r="B22" s="28">
        <v>5995000</v>
      </c>
    </row>
    <row r="23" spans="1:6" x14ac:dyDescent="0.25">
      <c r="A23" t="s">
        <v>288</v>
      </c>
      <c r="B23" s="31">
        <f>IFERROR(B22/B7,"")</f>
        <v>461153.84615384613</v>
      </c>
    </row>
    <row r="24" spans="1:6" x14ac:dyDescent="0.25">
      <c r="A24" t="s">
        <v>289</v>
      </c>
      <c r="B24" s="38">
        <f>IFERROR(B22/B8,"")</f>
        <v>456.55319473002817</v>
      </c>
    </row>
    <row r="25" spans="1:6" x14ac:dyDescent="0.25">
      <c r="A25" t="s">
        <v>290</v>
      </c>
      <c r="B25" s="39">
        <v>4.8800000000000003E-2</v>
      </c>
    </row>
    <row r="26" spans="1:6" x14ac:dyDescent="0.25">
      <c r="A26" t="s">
        <v>291</v>
      </c>
      <c r="B26" s="40">
        <v>15.13</v>
      </c>
    </row>
    <row r="28" spans="1:6" x14ac:dyDescent="0.25">
      <c r="A28" s="34" t="s">
        <v>292</v>
      </c>
      <c r="B28" s="35"/>
      <c r="C28" s="35"/>
      <c r="D28" s="35"/>
      <c r="E28" s="35"/>
      <c r="F28" s="35"/>
    </row>
    <row r="29" spans="1:6" x14ac:dyDescent="0.25">
      <c r="A29" s="41" t="s">
        <v>293</v>
      </c>
      <c r="B29" s="41" t="s">
        <v>294</v>
      </c>
      <c r="C29" s="41" t="s">
        <v>295</v>
      </c>
      <c r="D29" s="41" t="s">
        <v>296</v>
      </c>
      <c r="E29" s="41" t="s">
        <v>297</v>
      </c>
      <c r="F29" s="41" t="s">
        <v>298</v>
      </c>
    </row>
    <row r="30" spans="1:6" x14ac:dyDescent="0.25">
      <c r="A30" t="s">
        <v>257</v>
      </c>
      <c r="B30" s="36">
        <v>1</v>
      </c>
      <c r="C30" s="48">
        <v>1681</v>
      </c>
      <c r="D30" s="31">
        <f>B30*C30</f>
        <v>1681</v>
      </c>
      <c r="E30" s="31">
        <f>D30*12</f>
        <v>20172</v>
      </c>
      <c r="F30" s="26" t="s">
        <v>45</v>
      </c>
    </row>
    <row r="31" spans="1:6" x14ac:dyDescent="0.25">
      <c r="A31" t="s">
        <v>302</v>
      </c>
      <c r="B31" s="36">
        <v>9</v>
      </c>
      <c r="C31" s="48">
        <v>2401</v>
      </c>
      <c r="D31" s="31">
        <f>B31*C31</f>
        <v>21609</v>
      </c>
      <c r="E31" s="31">
        <f>D31*12</f>
        <v>259308</v>
      </c>
      <c r="F31" s="26" t="s">
        <v>45</v>
      </c>
    </row>
    <row r="32" spans="1:6" x14ac:dyDescent="0.25">
      <c r="A32" t="s">
        <v>299</v>
      </c>
      <c r="B32" s="36">
        <v>2</v>
      </c>
      <c r="C32" s="48">
        <v>3242</v>
      </c>
      <c r="D32" s="31">
        <f>B32*C32</f>
        <v>6484</v>
      </c>
      <c r="E32" s="31">
        <f>D32*12</f>
        <v>77808</v>
      </c>
      <c r="F32" s="26" t="s">
        <v>45</v>
      </c>
    </row>
    <row r="33" spans="1:6" x14ac:dyDescent="0.25">
      <c r="A33" t="s">
        <v>438</v>
      </c>
      <c r="B33" s="36">
        <v>1</v>
      </c>
      <c r="C33" s="48">
        <v>3242</v>
      </c>
      <c r="D33" s="31">
        <f>B33*C33</f>
        <v>3242</v>
      </c>
      <c r="E33" s="31">
        <f>D33*12</f>
        <v>38904</v>
      </c>
      <c r="F33" s="26" t="s">
        <v>45</v>
      </c>
    </row>
    <row r="34" spans="1:6" x14ac:dyDescent="0.25">
      <c r="A34" s="42" t="s">
        <v>303</v>
      </c>
      <c r="B34" s="43">
        <f>SUM(B30:B33)</f>
        <v>13</v>
      </c>
      <c r="C34" s="44">
        <f>IFERROR(D34/B34,"")</f>
        <v>2539.6923076923076</v>
      </c>
      <c r="D34" s="44">
        <f>SUM(D30:D33)</f>
        <v>33016</v>
      </c>
      <c r="E34" s="44">
        <f>SUM(E30:E33)</f>
        <v>396192</v>
      </c>
    </row>
    <row r="36" spans="1:6" x14ac:dyDescent="0.25">
      <c r="A36" s="34" t="s">
        <v>304</v>
      </c>
      <c r="B36" s="35"/>
      <c r="C36" s="35"/>
      <c r="D36" s="35"/>
      <c r="E36" s="35"/>
      <c r="F36" s="35"/>
    </row>
    <row r="37" spans="1:6" x14ac:dyDescent="0.25">
      <c r="A37" s="45"/>
      <c r="B37" s="45" t="s">
        <v>305</v>
      </c>
      <c r="C37" s="45" t="s">
        <v>306</v>
      </c>
      <c r="D37" s="45"/>
      <c r="E37" s="45"/>
      <c r="F37" s="45" t="s">
        <v>307</v>
      </c>
    </row>
    <row r="38" spans="1:6" x14ac:dyDescent="0.25">
      <c r="A38" t="s">
        <v>308</v>
      </c>
      <c r="B38" s="31">
        <v>396232.65036351618</v>
      </c>
      <c r="C38" s="31">
        <f>E34</f>
        <v>396192</v>
      </c>
      <c r="F38" s="26" t="s">
        <v>309</v>
      </c>
    </row>
    <row r="39" spans="1:6" x14ac:dyDescent="0.25">
      <c r="A39" t="s">
        <v>310</v>
      </c>
      <c r="B39" s="31">
        <v>0</v>
      </c>
      <c r="C39" s="28">
        <v>0</v>
      </c>
    </row>
    <row r="40" spans="1:6" x14ac:dyDescent="0.25">
      <c r="A40" s="42" t="s">
        <v>311</v>
      </c>
      <c r="B40" s="31">
        <f>B38+B39</f>
        <v>396232.65036351618</v>
      </c>
      <c r="C40" s="31">
        <f>C38+C39</f>
        <v>396192</v>
      </c>
    </row>
    <row r="41" spans="1:6" x14ac:dyDescent="0.25">
      <c r="A41" t="s">
        <v>312</v>
      </c>
      <c r="B41" s="31">
        <f>-B38*0.03</f>
        <v>-11886.979510905485</v>
      </c>
      <c r="C41" s="31">
        <f>-C38*Assumptions!$B$3</f>
        <v>-11885.76</v>
      </c>
      <c r="F41" s="26" t="s">
        <v>313</v>
      </c>
    </row>
    <row r="42" spans="1:6" x14ac:dyDescent="0.25">
      <c r="A42" s="42" t="s">
        <v>314</v>
      </c>
      <c r="B42" s="44">
        <f>B40+B41</f>
        <v>384345.67085261067</v>
      </c>
      <c r="C42" s="44">
        <f>C40+C41</f>
        <v>384306.24</v>
      </c>
    </row>
    <row r="44" spans="1:6" x14ac:dyDescent="0.25">
      <c r="A44" s="34" t="s">
        <v>315</v>
      </c>
      <c r="B44" s="35"/>
      <c r="C44" s="35"/>
      <c r="D44" s="35"/>
      <c r="E44" s="35"/>
      <c r="F44" s="35"/>
    </row>
    <row r="45" spans="1:6" x14ac:dyDescent="0.25">
      <c r="A45" s="45" t="s">
        <v>316</v>
      </c>
      <c r="B45" s="45" t="s">
        <v>305</v>
      </c>
      <c r="C45" s="45" t="s">
        <v>317</v>
      </c>
      <c r="D45" s="45" t="s">
        <v>306</v>
      </c>
      <c r="E45" s="45" t="s">
        <v>318</v>
      </c>
      <c r="F45" s="45" t="s">
        <v>307</v>
      </c>
    </row>
    <row r="46" spans="1:6" x14ac:dyDescent="0.25">
      <c r="A46" t="s">
        <v>319</v>
      </c>
      <c r="B46" s="31"/>
      <c r="C46" s="31">
        <f>B22*Assumptions!$B$18</f>
        <v>71940</v>
      </c>
      <c r="D46" s="46">
        <f>C46</f>
        <v>71940</v>
      </c>
      <c r="E46" s="31" t="str">
        <f t="shared" ref="E46:E54" si="0">IF(ISNUMBER(B46),D46-B46,"")</f>
        <v/>
      </c>
      <c r="F46" s="26" t="s">
        <v>394</v>
      </c>
    </row>
    <row r="47" spans="1:6" x14ac:dyDescent="0.25">
      <c r="A47" t="s">
        <v>321</v>
      </c>
      <c r="B47" s="31"/>
      <c r="C47" s="31">
        <f>B7*Assumptions!$B$5+B8*Assumptions!$B$6</f>
        <v>15731</v>
      </c>
      <c r="D47" s="46">
        <f t="shared" ref="D47:D53" si="1">IF(ISNUMBER(B47),MAX(B47,C47),C47)</f>
        <v>15731</v>
      </c>
      <c r="E47" s="31" t="str">
        <f t="shared" si="0"/>
        <v/>
      </c>
      <c r="F47" s="26" t="s">
        <v>322</v>
      </c>
    </row>
    <row r="48" spans="1:6" x14ac:dyDescent="0.25">
      <c r="A48" t="s">
        <v>323</v>
      </c>
      <c r="B48" s="31"/>
      <c r="C48" s="31">
        <f>C42*Assumptions!$B$4</f>
        <v>19215.312000000002</v>
      </c>
      <c r="D48" s="46">
        <f t="shared" si="1"/>
        <v>19215.312000000002</v>
      </c>
      <c r="E48" s="31" t="str">
        <f t="shared" si="0"/>
        <v/>
      </c>
      <c r="F48" s="26" t="s">
        <v>324</v>
      </c>
    </row>
    <row r="49" spans="1:6" x14ac:dyDescent="0.25">
      <c r="A49" t="s">
        <v>325</v>
      </c>
      <c r="B49" s="31"/>
      <c r="C49" s="31">
        <f>B7*Assumptions!$B$7</f>
        <v>15600</v>
      </c>
      <c r="D49" s="46">
        <f t="shared" si="1"/>
        <v>15600</v>
      </c>
      <c r="E49" s="31" t="str">
        <f t="shared" si="0"/>
        <v/>
      </c>
      <c r="F49" s="26" t="s">
        <v>326</v>
      </c>
    </row>
    <row r="50" spans="1:6" x14ac:dyDescent="0.25">
      <c r="A50" t="s">
        <v>327</v>
      </c>
      <c r="B50" s="31"/>
      <c r="C50" s="31">
        <f>B7*Assumptions!$B$11</f>
        <v>20800</v>
      </c>
      <c r="D50" s="46">
        <f t="shared" si="1"/>
        <v>20800</v>
      </c>
      <c r="E50" s="31" t="str">
        <f t="shared" si="0"/>
        <v/>
      </c>
      <c r="F50" s="26" t="s">
        <v>328</v>
      </c>
    </row>
    <row r="51" spans="1:6" x14ac:dyDescent="0.25">
      <c r="A51" t="s">
        <v>329</v>
      </c>
      <c r="B51" s="31"/>
      <c r="C51" s="31">
        <f>B7*Assumptions!$B$12</f>
        <v>5200</v>
      </c>
      <c r="D51" s="46">
        <f t="shared" si="1"/>
        <v>5200</v>
      </c>
      <c r="E51" s="31" t="str">
        <f t="shared" si="0"/>
        <v/>
      </c>
      <c r="F51" s="26" t="s">
        <v>330</v>
      </c>
    </row>
    <row r="52" spans="1:6" x14ac:dyDescent="0.25">
      <c r="A52" t="s">
        <v>331</v>
      </c>
      <c r="B52" s="31"/>
      <c r="C52" s="31">
        <f>B7*Assumptions!$B$13</f>
        <v>3250</v>
      </c>
      <c r="D52" s="46">
        <f t="shared" si="1"/>
        <v>3250</v>
      </c>
      <c r="E52" s="31" t="str">
        <f t="shared" si="0"/>
        <v/>
      </c>
      <c r="F52" s="26" t="s">
        <v>332</v>
      </c>
    </row>
    <row r="53" spans="1:6" x14ac:dyDescent="0.25">
      <c r="A53" t="s">
        <v>333</v>
      </c>
      <c r="B53" s="31"/>
      <c r="C53" s="31">
        <f>B7*Assumptions!$B$14</f>
        <v>3900</v>
      </c>
      <c r="D53" s="46">
        <f t="shared" si="1"/>
        <v>3900</v>
      </c>
      <c r="E53" s="31" t="str">
        <f t="shared" si="0"/>
        <v/>
      </c>
      <c r="F53" s="26" t="s">
        <v>330</v>
      </c>
    </row>
    <row r="54" spans="1:6" x14ac:dyDescent="0.25">
      <c r="A54" s="42" t="s">
        <v>334</v>
      </c>
      <c r="B54" s="44">
        <f>B42-B22*B25</f>
        <v>91789.670852610667</v>
      </c>
      <c r="C54" s="44">
        <f>SUM(C46:C53)</f>
        <v>155636.31200000001</v>
      </c>
      <c r="D54" s="44">
        <f>SUM(D46:D53)</f>
        <v>155636.31200000001</v>
      </c>
      <c r="E54" s="44">
        <f t="shared" si="0"/>
        <v>63846.641147389339</v>
      </c>
      <c r="F54" s="26" t="s">
        <v>335</v>
      </c>
    </row>
    <row r="55" spans="1:6" x14ac:dyDescent="0.25">
      <c r="A55" t="s">
        <v>336</v>
      </c>
      <c r="B55" s="31">
        <f>IFERROR(B54/B7,"")</f>
        <v>7060.7439117392823</v>
      </c>
      <c r="C55" s="31">
        <f>IFERROR(C54/B7,"")</f>
        <v>11972.024000000001</v>
      </c>
      <c r="D55" s="31">
        <f>IFERROR(D54/B7,"")</f>
        <v>11972.024000000001</v>
      </c>
    </row>
    <row r="56" spans="1:6" x14ac:dyDescent="0.25">
      <c r="A56" t="s">
        <v>337</v>
      </c>
      <c r="B56" s="39">
        <f>IFERROR(B54/B42,"")</f>
        <v>0.23882061855670095</v>
      </c>
      <c r="C56" s="39">
        <f>IFERROR(C54/C42,"")</f>
        <v>0.40497992434366931</v>
      </c>
      <c r="D56" s="39">
        <f>IF(C38&gt;0,IFERROR(D54/C42,""),"")</f>
        <v>0.40497992434366931</v>
      </c>
    </row>
    <row r="57" spans="1:6" x14ac:dyDescent="0.25">
      <c r="A57" s="42" t="s">
        <v>18</v>
      </c>
      <c r="B57" s="47" t="str">
        <f>IF(ISNUMBER(B54),IF(D54&gt;B54*(1+Assumptions!$B$24),"OM EXPENSES LIGHT","OM expenses reasonable"),"OM expenses not published")</f>
        <v>OM EXPENSES LIGHT</v>
      </c>
    </row>
    <row r="59" spans="1:6" x14ac:dyDescent="0.25">
      <c r="A59" s="34" t="s">
        <v>338</v>
      </c>
      <c r="B59" s="35"/>
      <c r="C59" s="35"/>
      <c r="D59" s="35"/>
      <c r="E59" s="35"/>
      <c r="F59" s="35"/>
    </row>
    <row r="60" spans="1:6" x14ac:dyDescent="0.25">
      <c r="A60" s="45"/>
      <c r="B60" s="45" t="s">
        <v>305</v>
      </c>
      <c r="C60" s="45" t="s">
        <v>306</v>
      </c>
      <c r="D60" s="45"/>
      <c r="E60" s="45"/>
      <c r="F60" s="45" t="s">
        <v>307</v>
      </c>
    </row>
    <row r="61" spans="1:6" x14ac:dyDescent="0.25">
      <c r="A61" s="42" t="s">
        <v>339</v>
      </c>
      <c r="B61" s="44">
        <f>B42-B54</f>
        <v>292556</v>
      </c>
      <c r="C61" s="44">
        <f>IF(C38&gt;0,C42-D54,"")</f>
        <v>228669.92799999999</v>
      </c>
    </row>
    <row r="62" spans="1:6" x14ac:dyDescent="0.25">
      <c r="A62" s="42" t="s">
        <v>340</v>
      </c>
      <c r="B62" s="39">
        <f>IFERROR(B61/B22,"")</f>
        <v>4.8800000000000003E-2</v>
      </c>
      <c r="C62" s="39">
        <f>IF(C61="","",IFERROR(C61/B22,""))</f>
        <v>3.8143440867389487E-2</v>
      </c>
      <c r="F62" s="26" t="s">
        <v>341</v>
      </c>
    </row>
    <row r="63" spans="1:6" x14ac:dyDescent="0.25">
      <c r="A63" t="s">
        <v>342</v>
      </c>
      <c r="B63" s="40">
        <f>IFERROR(B22/B38,"")</f>
        <v>15.13</v>
      </c>
      <c r="C63" s="40">
        <f>IF(C38&gt;0,IFERROR(B22/C38,""),"")</f>
        <v>15.131552378644697</v>
      </c>
    </row>
    <row r="64" spans="1:6" x14ac:dyDescent="0.25">
      <c r="A64" t="s">
        <v>343</v>
      </c>
      <c r="B64" s="31">
        <f>IFERROR(B61/B7,"")</f>
        <v>22504.307692307691</v>
      </c>
      <c r="C64" s="31">
        <f>IF(C61="","",IFERROR(C61/B7,""))</f>
        <v>17589.994461538459</v>
      </c>
    </row>
    <row r="66" spans="1:6" x14ac:dyDescent="0.25">
      <c r="A66" s="34" t="s">
        <v>344</v>
      </c>
      <c r="B66" s="35"/>
      <c r="C66" s="35"/>
      <c r="D66" s="35"/>
      <c r="E66" s="35"/>
      <c r="F66" s="35"/>
    </row>
    <row r="67" spans="1:6" x14ac:dyDescent="0.25">
      <c r="A67" t="s">
        <v>345</v>
      </c>
      <c r="B67" s="31">
        <f>IFERROR(B22*Assumptions!$B$20,"")</f>
        <v>3597000</v>
      </c>
    </row>
    <row r="68" spans="1:6" x14ac:dyDescent="0.25">
      <c r="A68" t="s">
        <v>346</v>
      </c>
      <c r="B68" s="31">
        <f>IF(C61="","",IFERROR(PV(Assumptions!$B$22/12,Assumptions!$B$23*12,-C61/Assumptions!$B$21/12),""))</f>
        <v>2475919.4409559304</v>
      </c>
    </row>
    <row r="69" spans="1:6" x14ac:dyDescent="0.25">
      <c r="A69" s="42" t="s">
        <v>347</v>
      </c>
      <c r="B69" s="31">
        <f>IFERROR(MIN(B67,B68),"")</f>
        <v>2475919.4409559304</v>
      </c>
    </row>
    <row r="70" spans="1:6" x14ac:dyDescent="0.25">
      <c r="A70" t="s">
        <v>348</v>
      </c>
      <c r="B70" s="31">
        <f>IFERROR(B22-B69,"")</f>
        <v>3519080.5590440696</v>
      </c>
    </row>
    <row r="71" spans="1:6" x14ac:dyDescent="0.25">
      <c r="A71" t="s">
        <v>349</v>
      </c>
      <c r="B71" s="31">
        <f>IFERROR(-PMT(Assumptions!$B$22/12,Assumptions!$B$23*12,B69)*12,"")</f>
        <v>182935.94239999945</v>
      </c>
    </row>
    <row r="72" spans="1:6" x14ac:dyDescent="0.25">
      <c r="A72" t="s">
        <v>350</v>
      </c>
      <c r="B72" s="40">
        <f>IFERROR(C61/B71,"")</f>
        <v>1.2500000000000038</v>
      </c>
    </row>
    <row r="73" spans="1:6" x14ac:dyDescent="0.25">
      <c r="A73" t="s">
        <v>351</v>
      </c>
      <c r="B73" s="31">
        <f>IFERROR(C61-B71,"")</f>
        <v>45733.985600000538</v>
      </c>
    </row>
    <row r="74" spans="1:6" x14ac:dyDescent="0.25">
      <c r="A74" t="s">
        <v>352</v>
      </c>
      <c r="B74" s="39">
        <f>IFERROR(B73/B70,"")</f>
        <v>1.299600416434451E-2</v>
      </c>
    </row>
    <row r="76" spans="1:6" x14ac:dyDescent="0.25">
      <c r="A76" s="26" t="s">
        <v>353</v>
      </c>
    </row>
  </sheetData>
  <hyperlinks>
    <hyperlink ref="A3" r:id="rId1" xr:uid="{00000000-0004-0000-1800-000000000000}"/>
  </hyperlinks>
  <pageMargins left="0.75" right="0.75" top="1" bottom="1" header="0.5" footer="0.5"/>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F73"/>
  <sheetViews>
    <sheetView showGridLines="0" workbookViewId="0">
      <pane ySplit="5" topLeftCell="A6" activePane="bottomLeft" state="frozen"/>
      <selection pane="bottomLeft"/>
    </sheetView>
  </sheetViews>
  <sheetFormatPr defaultRowHeight="15" x14ac:dyDescent="0.25"/>
  <cols>
    <col min="1" max="1" width="38" customWidth="1"/>
    <col min="2" max="5" width="16" customWidth="1"/>
    <col min="6" max="6" width="48" customWidth="1"/>
    <col min="7" max="7" width="12" customWidth="1"/>
  </cols>
  <sheetData>
    <row r="1" spans="1:3" ht="19.5" x14ac:dyDescent="0.3">
      <c r="A1" s="1" t="s">
        <v>150</v>
      </c>
    </row>
    <row r="2" spans="1:3" x14ac:dyDescent="0.25">
      <c r="A2" s="32" t="s">
        <v>439</v>
      </c>
    </row>
    <row r="3" spans="1:3" x14ac:dyDescent="0.25">
      <c r="A3" s="33" t="s">
        <v>271</v>
      </c>
      <c r="B3" s="26" t="s">
        <v>384</v>
      </c>
    </row>
    <row r="4" spans="1:3" x14ac:dyDescent="0.25">
      <c r="A4" s="47" t="s">
        <v>440</v>
      </c>
    </row>
    <row r="6" spans="1:3" x14ac:dyDescent="0.25">
      <c r="A6" s="34" t="s">
        <v>273</v>
      </c>
      <c r="B6" s="35"/>
      <c r="C6" s="35"/>
    </row>
    <row r="7" spans="1:3" x14ac:dyDescent="0.25">
      <c r="A7" t="s">
        <v>7</v>
      </c>
      <c r="B7" s="36">
        <v>13</v>
      </c>
    </row>
    <row r="8" spans="1:3" x14ac:dyDescent="0.25">
      <c r="A8" t="s">
        <v>274</v>
      </c>
      <c r="B8" s="36">
        <v>4770</v>
      </c>
    </row>
    <row r="9" spans="1:3" x14ac:dyDescent="0.25">
      <c r="A9" t="s">
        <v>10</v>
      </c>
      <c r="B9" s="36">
        <v>7405</v>
      </c>
    </row>
    <row r="10" spans="1:3" x14ac:dyDescent="0.25">
      <c r="A10" t="s">
        <v>275</v>
      </c>
      <c r="B10" s="37">
        <v>0.17</v>
      </c>
    </row>
    <row r="11" spans="1:3" x14ac:dyDescent="0.25">
      <c r="A11" t="s">
        <v>8</v>
      </c>
    </row>
    <row r="12" spans="1:3" x14ac:dyDescent="0.25">
      <c r="A12" t="s">
        <v>276</v>
      </c>
      <c r="B12" t="s">
        <v>277</v>
      </c>
    </row>
    <row r="13" spans="1:3" x14ac:dyDescent="0.25">
      <c r="A13" t="s">
        <v>278</v>
      </c>
      <c r="B13" t="s">
        <v>441</v>
      </c>
    </row>
    <row r="14" spans="1:3" x14ac:dyDescent="0.25">
      <c r="A14" t="s">
        <v>280</v>
      </c>
      <c r="B14" t="s">
        <v>152</v>
      </c>
    </row>
    <row r="15" spans="1:3" x14ac:dyDescent="0.25">
      <c r="A15" t="s">
        <v>281</v>
      </c>
      <c r="B15" t="s">
        <v>442</v>
      </c>
    </row>
    <row r="16" spans="1:3" x14ac:dyDescent="0.25">
      <c r="A16" t="s">
        <v>283</v>
      </c>
      <c r="B16" s="31">
        <v>3030809</v>
      </c>
    </row>
    <row r="17" spans="1:6" x14ac:dyDescent="0.25">
      <c r="A17" t="s">
        <v>284</v>
      </c>
      <c r="B17" t="s">
        <v>153</v>
      </c>
    </row>
    <row r="18" spans="1:6" x14ac:dyDescent="0.25">
      <c r="A18" t="s">
        <v>285</v>
      </c>
      <c r="B18" t="s">
        <v>154</v>
      </c>
    </row>
    <row r="19" spans="1:6" x14ac:dyDescent="0.25">
      <c r="A19" t="s">
        <v>286</v>
      </c>
      <c r="B19" t="s">
        <v>113</v>
      </c>
    </row>
    <row r="21" spans="1:6" x14ac:dyDescent="0.25">
      <c r="A21" s="34" t="s">
        <v>287</v>
      </c>
      <c r="B21" s="35"/>
      <c r="C21" s="35"/>
    </row>
    <row r="22" spans="1:6" x14ac:dyDescent="0.25">
      <c r="A22" t="s">
        <v>11</v>
      </c>
      <c r="B22" s="28">
        <v>5100000</v>
      </c>
    </row>
    <row r="23" spans="1:6" x14ac:dyDescent="0.25">
      <c r="A23" t="s">
        <v>288</v>
      </c>
      <c r="B23" s="31">
        <f>IFERROR(B22/B7,"")</f>
        <v>392307.69230769231</v>
      </c>
    </row>
    <row r="24" spans="1:6" x14ac:dyDescent="0.25">
      <c r="A24" t="s">
        <v>289</v>
      </c>
      <c r="B24" s="38">
        <f>IFERROR(B22/B8,"")</f>
        <v>1069.182389937107</v>
      </c>
    </row>
    <row r="25" spans="1:6" x14ac:dyDescent="0.25">
      <c r="A25" t="s">
        <v>290</v>
      </c>
      <c r="B25" s="39">
        <v>4.87E-2</v>
      </c>
      <c r="C25" s="26" t="s">
        <v>443</v>
      </c>
    </row>
    <row r="26" spans="1:6" x14ac:dyDescent="0.25">
      <c r="A26" t="s">
        <v>291</v>
      </c>
      <c r="B26" s="40">
        <v>14.2</v>
      </c>
      <c r="C26" s="26" t="s">
        <v>443</v>
      </c>
    </row>
    <row r="28" spans="1:6" x14ac:dyDescent="0.25">
      <c r="A28" s="34" t="s">
        <v>292</v>
      </c>
      <c r="B28" s="35"/>
      <c r="C28" s="35"/>
      <c r="D28" s="35"/>
      <c r="E28" s="35"/>
      <c r="F28" s="35"/>
    </row>
    <row r="29" spans="1:6" x14ac:dyDescent="0.25">
      <c r="A29" s="41" t="s">
        <v>293</v>
      </c>
      <c r="B29" s="41" t="s">
        <v>294</v>
      </c>
      <c r="C29" s="41" t="s">
        <v>295</v>
      </c>
      <c r="D29" s="41" t="s">
        <v>296</v>
      </c>
      <c r="E29" s="41" t="s">
        <v>297</v>
      </c>
      <c r="F29" s="41" t="s">
        <v>298</v>
      </c>
    </row>
    <row r="30" spans="1:6" x14ac:dyDescent="0.25">
      <c r="A30" t="s">
        <v>257</v>
      </c>
      <c r="B30" s="36">
        <v>13</v>
      </c>
      <c r="C30" s="28">
        <v>2405</v>
      </c>
      <c r="D30" s="31">
        <f>B30*C30</f>
        <v>31265</v>
      </c>
      <c r="E30" s="31">
        <f>D30*12</f>
        <v>375180</v>
      </c>
      <c r="F30" s="26" t="s">
        <v>38</v>
      </c>
    </row>
    <row r="31" spans="1:6" x14ac:dyDescent="0.25">
      <c r="A31" s="42" t="s">
        <v>303</v>
      </c>
      <c r="B31" s="43">
        <f>SUM(B30:B30)</f>
        <v>13</v>
      </c>
      <c r="C31" s="44">
        <f>IFERROR(D31/B31,"")</f>
        <v>2405</v>
      </c>
      <c r="D31" s="44">
        <f>SUM(D30:D30)</f>
        <v>31265</v>
      </c>
      <c r="E31" s="44">
        <f>SUM(E30:E30)</f>
        <v>375180</v>
      </c>
    </row>
    <row r="33" spans="1:6" x14ac:dyDescent="0.25">
      <c r="A33" s="34" t="s">
        <v>304</v>
      </c>
      <c r="B33" s="35"/>
      <c r="C33" s="35"/>
      <c r="D33" s="35"/>
      <c r="E33" s="35"/>
      <c r="F33" s="35"/>
    </row>
    <row r="34" spans="1:6" x14ac:dyDescent="0.25">
      <c r="A34" s="45"/>
      <c r="B34" s="45" t="s">
        <v>305</v>
      </c>
      <c r="C34" s="45" t="s">
        <v>306</v>
      </c>
      <c r="D34" s="45"/>
      <c r="E34" s="45"/>
      <c r="F34" s="45" t="s">
        <v>307</v>
      </c>
    </row>
    <row r="35" spans="1:6" x14ac:dyDescent="0.25">
      <c r="A35" t="s">
        <v>308</v>
      </c>
      <c r="B35" s="31">
        <v>356664</v>
      </c>
      <c r="C35" s="31">
        <f>E31</f>
        <v>375180</v>
      </c>
      <c r="F35" s="26" t="s">
        <v>387</v>
      </c>
    </row>
    <row r="36" spans="1:6" x14ac:dyDescent="0.25">
      <c r="A36" t="s">
        <v>310</v>
      </c>
      <c r="B36" s="31">
        <v>2400</v>
      </c>
      <c r="C36" s="28">
        <v>2400</v>
      </c>
    </row>
    <row r="37" spans="1:6" x14ac:dyDescent="0.25">
      <c r="A37" s="42" t="s">
        <v>311</v>
      </c>
      <c r="B37" s="31">
        <f>B35+B36</f>
        <v>359064</v>
      </c>
      <c r="C37" s="31">
        <f>C35+C36</f>
        <v>377580</v>
      </c>
    </row>
    <row r="38" spans="1:6" x14ac:dyDescent="0.25">
      <c r="A38" t="s">
        <v>312</v>
      </c>
      <c r="B38" s="31">
        <f>-B35*0.03</f>
        <v>-10699.92</v>
      </c>
      <c r="C38" s="31">
        <f>-C35*Assumptions!$B$3</f>
        <v>-11255.4</v>
      </c>
      <c r="F38" s="26" t="s">
        <v>313</v>
      </c>
    </row>
    <row r="39" spans="1:6" x14ac:dyDescent="0.25">
      <c r="A39" s="42" t="s">
        <v>314</v>
      </c>
      <c r="B39" s="44">
        <f>B37+B38</f>
        <v>348364.08</v>
      </c>
      <c r="C39" s="44">
        <f>C37+C38</f>
        <v>366324.6</v>
      </c>
    </row>
    <row r="41" spans="1:6" x14ac:dyDescent="0.25">
      <c r="A41" s="34" t="s">
        <v>315</v>
      </c>
      <c r="B41" s="35"/>
      <c r="C41" s="35"/>
      <c r="D41" s="35"/>
      <c r="E41" s="35"/>
      <c r="F41" s="35"/>
    </row>
    <row r="42" spans="1:6" x14ac:dyDescent="0.25">
      <c r="A42" s="45" t="s">
        <v>316</v>
      </c>
      <c r="B42" s="45" t="s">
        <v>305</v>
      </c>
      <c r="C42" s="45" t="s">
        <v>317</v>
      </c>
      <c r="D42" s="45" t="s">
        <v>306</v>
      </c>
      <c r="E42" s="45" t="s">
        <v>318</v>
      </c>
      <c r="F42" s="45" t="s">
        <v>307</v>
      </c>
    </row>
    <row r="43" spans="1:6" x14ac:dyDescent="0.25">
      <c r="A43" t="s">
        <v>319</v>
      </c>
      <c r="B43" s="31">
        <v>63750</v>
      </c>
      <c r="C43" s="31">
        <f>B22*Assumptions!$B$16</f>
        <v>58650</v>
      </c>
      <c r="D43" s="46">
        <f>C43</f>
        <v>58650</v>
      </c>
      <c r="E43" s="31">
        <f t="shared" ref="E43:E51" si="0">IF(ISNUMBER(B43),D43-B43,"")</f>
        <v>-5100</v>
      </c>
      <c r="F43" s="26" t="s">
        <v>320</v>
      </c>
    </row>
    <row r="44" spans="1:6" x14ac:dyDescent="0.25">
      <c r="A44" t="s">
        <v>321</v>
      </c>
      <c r="B44" s="31">
        <v>7155</v>
      </c>
      <c r="C44" s="31">
        <f>B7*Assumptions!$B$5+B8*Assumptions!$B$6</f>
        <v>7370</v>
      </c>
      <c r="D44" s="46">
        <f t="shared" ref="D44:D50" si="1">IF(ISNUMBER(B44),MAX(B44,C44),C44)</f>
        <v>7370</v>
      </c>
      <c r="E44" s="31">
        <f t="shared" si="0"/>
        <v>215</v>
      </c>
      <c r="F44" s="26" t="s">
        <v>322</v>
      </c>
    </row>
    <row r="45" spans="1:6" x14ac:dyDescent="0.25">
      <c r="A45" t="s">
        <v>323</v>
      </c>
      <c r="B45" s="31">
        <v>15673</v>
      </c>
      <c r="C45" s="31">
        <f>C39*Assumptions!$B$4</f>
        <v>18316.23</v>
      </c>
      <c r="D45" s="46">
        <f t="shared" si="1"/>
        <v>18316.23</v>
      </c>
      <c r="E45" s="31">
        <f t="shared" si="0"/>
        <v>2643.2299999999996</v>
      </c>
      <c r="F45" s="26" t="s">
        <v>324</v>
      </c>
    </row>
    <row r="46" spans="1:6" x14ac:dyDescent="0.25">
      <c r="A46" t="s">
        <v>325</v>
      </c>
      <c r="B46" s="31">
        <v>5200</v>
      </c>
      <c r="C46" s="31">
        <f>B7*Assumptions!$B$7</f>
        <v>15600</v>
      </c>
      <c r="D46" s="46">
        <f t="shared" si="1"/>
        <v>15600</v>
      </c>
      <c r="E46" s="31">
        <f t="shared" si="0"/>
        <v>10400</v>
      </c>
      <c r="F46" s="26" t="s">
        <v>326</v>
      </c>
    </row>
    <row r="47" spans="1:6" x14ac:dyDescent="0.25">
      <c r="A47" t="s">
        <v>327</v>
      </c>
      <c r="B47" s="31">
        <v>6463</v>
      </c>
      <c r="C47" s="31">
        <f>B7*Assumptions!$B$10</f>
        <v>23400</v>
      </c>
      <c r="D47" s="46">
        <f t="shared" si="1"/>
        <v>23400</v>
      </c>
      <c r="E47" s="31">
        <f t="shared" si="0"/>
        <v>16937</v>
      </c>
      <c r="F47" s="26" t="s">
        <v>328</v>
      </c>
    </row>
    <row r="48" spans="1:6" x14ac:dyDescent="0.25">
      <c r="A48" t="s">
        <v>329</v>
      </c>
      <c r="B48" s="31">
        <v>1200</v>
      </c>
      <c r="C48" s="31">
        <f>B7*Assumptions!$B$12</f>
        <v>5200</v>
      </c>
      <c r="D48" s="46">
        <f t="shared" si="1"/>
        <v>5200</v>
      </c>
      <c r="E48" s="31">
        <f t="shared" si="0"/>
        <v>4000</v>
      </c>
      <c r="F48" s="26" t="s">
        <v>330</v>
      </c>
    </row>
    <row r="49" spans="1:6" x14ac:dyDescent="0.25">
      <c r="A49" t="s">
        <v>331</v>
      </c>
      <c r="B49" s="31"/>
      <c r="C49" s="31">
        <f>B7*Assumptions!$B$13</f>
        <v>3250</v>
      </c>
      <c r="D49" s="46">
        <f t="shared" si="1"/>
        <v>3250</v>
      </c>
      <c r="E49" s="31" t="str">
        <f t="shared" si="0"/>
        <v/>
      </c>
      <c r="F49" s="26" t="s">
        <v>332</v>
      </c>
    </row>
    <row r="50" spans="1:6" x14ac:dyDescent="0.25">
      <c r="A50" t="s">
        <v>333</v>
      </c>
      <c r="B50" s="31">
        <v>5200</v>
      </c>
      <c r="C50" s="31">
        <f>B7*Assumptions!$B$14</f>
        <v>3900</v>
      </c>
      <c r="D50" s="46">
        <f t="shared" si="1"/>
        <v>5200</v>
      </c>
      <c r="E50" s="31">
        <f t="shared" si="0"/>
        <v>0</v>
      </c>
      <c r="F50" s="26" t="s">
        <v>330</v>
      </c>
    </row>
    <row r="51" spans="1:6" x14ac:dyDescent="0.25">
      <c r="A51" s="42" t="s">
        <v>334</v>
      </c>
      <c r="B51" s="44">
        <f>SUM(B43:B50)</f>
        <v>104641</v>
      </c>
      <c r="C51" s="44">
        <f>SUM(C43:C50)</f>
        <v>135686.22999999998</v>
      </c>
      <c r="D51" s="44">
        <f>SUM(D43:D50)</f>
        <v>136986.22999999998</v>
      </c>
      <c r="E51" s="44">
        <f t="shared" si="0"/>
        <v>32345.229999999981</v>
      </c>
      <c r="F51" s="26" t="s">
        <v>444</v>
      </c>
    </row>
    <row r="52" spans="1:6" x14ac:dyDescent="0.25">
      <c r="A52" t="s">
        <v>336</v>
      </c>
      <c r="B52" s="31">
        <f>IFERROR(B51/B7,"")</f>
        <v>8049.3076923076924</v>
      </c>
      <c r="C52" s="31">
        <f>IFERROR(C51/B7,"")</f>
        <v>10437.402307692306</v>
      </c>
      <c r="D52" s="31">
        <f>IFERROR(D51/B7,"")</f>
        <v>10537.402307692306</v>
      </c>
    </row>
    <row r="53" spans="1:6" x14ac:dyDescent="0.25">
      <c r="A53" t="s">
        <v>337</v>
      </c>
      <c r="B53" s="39">
        <f>IFERROR(B51/B39,"")</f>
        <v>0.30037827091702451</v>
      </c>
      <c r="C53" s="39">
        <f>IFERROR(C51/C39,"")</f>
        <v>0.37039890304937201</v>
      </c>
      <c r="D53" s="39">
        <f>IF(C35&gt;0,IFERROR(D51/C39,""),"")</f>
        <v>0.37394766827016257</v>
      </c>
    </row>
    <row r="54" spans="1:6" x14ac:dyDescent="0.25">
      <c r="A54" s="42" t="s">
        <v>18</v>
      </c>
      <c r="B54" s="47" t="str">
        <f>IF(ISNUMBER(B51),IF(D51&gt;B51*(1+Assumptions!$B$24),"OM EXPENSES LIGHT","OM expenses reasonable"),"OM expenses not published")</f>
        <v>OM EXPENSES LIGHT</v>
      </c>
    </row>
    <row r="56" spans="1:6" x14ac:dyDescent="0.25">
      <c r="A56" s="34" t="s">
        <v>338</v>
      </c>
      <c r="B56" s="35"/>
      <c r="C56" s="35"/>
      <c r="D56" s="35"/>
      <c r="E56" s="35"/>
      <c r="F56" s="35"/>
    </row>
    <row r="57" spans="1:6" x14ac:dyDescent="0.25">
      <c r="A57" s="45"/>
      <c r="B57" s="45" t="s">
        <v>305</v>
      </c>
      <c r="C57" s="45" t="s">
        <v>306</v>
      </c>
      <c r="D57" s="45"/>
      <c r="E57" s="45"/>
      <c r="F57" s="45" t="s">
        <v>307</v>
      </c>
    </row>
    <row r="58" spans="1:6" x14ac:dyDescent="0.25">
      <c r="A58" s="42" t="s">
        <v>339</v>
      </c>
      <c r="B58" s="44">
        <f>B39-B51</f>
        <v>243723.08000000002</v>
      </c>
      <c r="C58" s="44">
        <f>IF(C35&gt;0,C39-D51,"")</f>
        <v>229338.37</v>
      </c>
    </row>
    <row r="59" spans="1:6" x14ac:dyDescent="0.25">
      <c r="A59" s="42" t="s">
        <v>340</v>
      </c>
      <c r="B59" s="39">
        <f>IFERROR(B58/B22,"")</f>
        <v>4.7788839215686281E-2</v>
      </c>
      <c r="C59" s="39">
        <f>IF(C58="","",IFERROR(C58/B22,""))</f>
        <v>4.4968307843137253E-2</v>
      </c>
      <c r="F59" s="26" t="s">
        <v>341</v>
      </c>
    </row>
    <row r="60" spans="1:6" x14ac:dyDescent="0.25">
      <c r="A60" t="s">
        <v>342</v>
      </c>
      <c r="B60" s="40">
        <f>IFERROR(B22/B35,"")</f>
        <v>14.299172330260413</v>
      </c>
      <c r="C60" s="40">
        <f>IF(C35&gt;0,IFERROR(B22/C35,""),"")</f>
        <v>13.593475131936671</v>
      </c>
    </row>
    <row r="61" spans="1:6" x14ac:dyDescent="0.25">
      <c r="A61" t="s">
        <v>343</v>
      </c>
      <c r="B61" s="31">
        <f>IFERROR(B58/B7,"")</f>
        <v>18747.92923076923</v>
      </c>
      <c r="C61" s="31">
        <f>IF(C58="","",IFERROR(C58/B7,""))</f>
        <v>17641.413076923076</v>
      </c>
    </row>
    <row r="63" spans="1:6" x14ac:dyDescent="0.25">
      <c r="A63" s="34" t="s">
        <v>344</v>
      </c>
      <c r="B63" s="35"/>
      <c r="C63" s="35"/>
      <c r="D63" s="35"/>
      <c r="E63" s="35"/>
      <c r="F63" s="35"/>
    </row>
    <row r="64" spans="1:6" x14ac:dyDescent="0.25">
      <c r="A64" t="s">
        <v>345</v>
      </c>
      <c r="B64" s="31">
        <f>IFERROR(B22*Assumptions!$B$20,"")</f>
        <v>3060000</v>
      </c>
    </row>
    <row r="65" spans="1:2" x14ac:dyDescent="0.25">
      <c r="A65" t="s">
        <v>346</v>
      </c>
      <c r="B65" s="31">
        <f>IF(C58="","",IFERROR(PV(Assumptions!$B$22/12,Assumptions!$B$23*12,-C58/Assumptions!$B$21/12),""))</f>
        <v>2483156.9844205501</v>
      </c>
    </row>
    <row r="66" spans="1:2" x14ac:dyDescent="0.25">
      <c r="A66" s="42" t="s">
        <v>347</v>
      </c>
      <c r="B66" s="31">
        <f>IFERROR(MIN(B64,B65),"")</f>
        <v>2483156.9844205501</v>
      </c>
    </row>
    <row r="67" spans="1:2" x14ac:dyDescent="0.25">
      <c r="A67" t="s">
        <v>348</v>
      </c>
      <c r="B67" s="31">
        <f>IFERROR(B22-B66,"")</f>
        <v>2616843.0155794499</v>
      </c>
    </row>
    <row r="68" spans="1:2" x14ac:dyDescent="0.25">
      <c r="A68" t="s">
        <v>349</v>
      </c>
      <c r="B68" s="31">
        <f>IFERROR(-PMT(Assumptions!$B$22/12,Assumptions!$B$23*12,B66)*12,"")</f>
        <v>183470.69599999944</v>
      </c>
    </row>
    <row r="69" spans="1:2" x14ac:dyDescent="0.25">
      <c r="A69" t="s">
        <v>350</v>
      </c>
      <c r="B69" s="40">
        <f>IFERROR(C58/B68,"")</f>
        <v>1.2500000000000038</v>
      </c>
    </row>
    <row r="70" spans="1:2" x14ac:dyDescent="0.25">
      <c r="A70" t="s">
        <v>351</v>
      </c>
      <c r="B70" s="31">
        <f>IFERROR(C58-B68,"")</f>
        <v>45867.674000000552</v>
      </c>
    </row>
    <row r="71" spans="1:2" x14ac:dyDescent="0.25">
      <c r="A71" t="s">
        <v>352</v>
      </c>
      <c r="B71" s="39">
        <f>IFERROR(B70/B67,"")</f>
        <v>1.7527866106956374E-2</v>
      </c>
    </row>
    <row r="73" spans="1:2" x14ac:dyDescent="0.25">
      <c r="A73" s="26" t="s">
        <v>353</v>
      </c>
    </row>
  </sheetData>
  <hyperlinks>
    <hyperlink ref="A3" r:id="rId1" xr:uid="{00000000-0004-0000-1900-000000000000}"/>
  </hyperlinks>
  <pageMargins left="0.75" right="0.75" top="1" bottom="1" header="0.5" footer="0.5"/>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F75"/>
  <sheetViews>
    <sheetView showGridLines="0" workbookViewId="0">
      <pane ySplit="5" topLeftCell="A6" activePane="bottomLeft" state="frozen"/>
      <selection pane="bottomLeft"/>
    </sheetView>
  </sheetViews>
  <sheetFormatPr defaultRowHeight="15" x14ac:dyDescent="0.25"/>
  <cols>
    <col min="1" max="1" width="38" customWidth="1"/>
    <col min="2" max="5" width="16" customWidth="1"/>
    <col min="6" max="6" width="48" customWidth="1"/>
    <col min="7" max="7" width="12" customWidth="1"/>
  </cols>
  <sheetData>
    <row r="1" spans="1:3" ht="19.5" x14ac:dyDescent="0.3">
      <c r="A1" s="1" t="s">
        <v>156</v>
      </c>
    </row>
    <row r="2" spans="1:3" x14ac:dyDescent="0.25">
      <c r="A2" s="32" t="s">
        <v>362</v>
      </c>
    </row>
    <row r="3" spans="1:3" x14ac:dyDescent="0.25">
      <c r="A3" s="33" t="s">
        <v>271</v>
      </c>
      <c r="B3" s="26" t="s">
        <v>272</v>
      </c>
    </row>
    <row r="4" spans="1:3" x14ac:dyDescent="0.25">
      <c r="A4" s="47" t="s">
        <v>378</v>
      </c>
    </row>
    <row r="6" spans="1:3" x14ac:dyDescent="0.25">
      <c r="A6" s="34" t="s">
        <v>273</v>
      </c>
      <c r="B6" s="35"/>
      <c r="C6" s="35"/>
    </row>
    <row r="7" spans="1:3" x14ac:dyDescent="0.25">
      <c r="A7" t="s">
        <v>7</v>
      </c>
      <c r="B7" s="36">
        <v>10</v>
      </c>
    </row>
    <row r="8" spans="1:3" x14ac:dyDescent="0.25">
      <c r="A8" t="s">
        <v>274</v>
      </c>
      <c r="B8" s="36">
        <v>7391</v>
      </c>
    </row>
    <row r="9" spans="1:3" x14ac:dyDescent="0.25">
      <c r="A9" t="s">
        <v>10</v>
      </c>
      <c r="B9" s="36">
        <v>7405</v>
      </c>
    </row>
    <row r="10" spans="1:3" x14ac:dyDescent="0.25">
      <c r="A10" t="s">
        <v>275</v>
      </c>
      <c r="B10" s="37">
        <v>0.17</v>
      </c>
    </row>
    <row r="11" spans="1:3" x14ac:dyDescent="0.25">
      <c r="A11" t="s">
        <v>8</v>
      </c>
      <c r="B11">
        <v>1960</v>
      </c>
    </row>
    <row r="12" spans="1:3" x14ac:dyDescent="0.25">
      <c r="A12" t="s">
        <v>276</v>
      </c>
      <c r="B12" t="s">
        <v>355</v>
      </c>
    </row>
    <row r="13" spans="1:3" x14ac:dyDescent="0.25">
      <c r="A13" t="s">
        <v>278</v>
      </c>
      <c r="B13" t="s">
        <v>379</v>
      </c>
    </row>
    <row r="14" spans="1:3" x14ac:dyDescent="0.25">
      <c r="A14" t="s">
        <v>280</v>
      </c>
      <c r="B14" t="s">
        <v>48</v>
      </c>
    </row>
    <row r="15" spans="1:3" x14ac:dyDescent="0.25">
      <c r="A15" t="s">
        <v>281</v>
      </c>
      <c r="B15" t="s">
        <v>445</v>
      </c>
    </row>
    <row r="16" spans="1:3" x14ac:dyDescent="0.25">
      <c r="A16" t="s">
        <v>283</v>
      </c>
      <c r="B16" s="31">
        <v>882650</v>
      </c>
    </row>
    <row r="17" spans="1:6" x14ac:dyDescent="0.25">
      <c r="A17" t="s">
        <v>284</v>
      </c>
      <c r="B17" t="s">
        <v>81</v>
      </c>
    </row>
    <row r="18" spans="1:6" x14ac:dyDescent="0.25">
      <c r="A18" t="s">
        <v>285</v>
      </c>
      <c r="B18" t="s">
        <v>157</v>
      </c>
    </row>
    <row r="19" spans="1:6" x14ac:dyDescent="0.25">
      <c r="A19" t="s">
        <v>286</v>
      </c>
      <c r="B19" t="s">
        <v>158</v>
      </c>
    </row>
    <row r="21" spans="1:6" x14ac:dyDescent="0.25">
      <c r="A21" s="34" t="s">
        <v>287</v>
      </c>
      <c r="B21" s="35"/>
      <c r="C21" s="35"/>
    </row>
    <row r="22" spans="1:6" x14ac:dyDescent="0.25">
      <c r="A22" t="s">
        <v>11</v>
      </c>
      <c r="B22" s="28">
        <v>2695000</v>
      </c>
    </row>
    <row r="23" spans="1:6" x14ac:dyDescent="0.25">
      <c r="A23" t="s">
        <v>288</v>
      </c>
      <c r="B23" s="31">
        <f>IFERROR(B22/B7,"")</f>
        <v>269500</v>
      </c>
    </row>
    <row r="24" spans="1:6" x14ac:dyDescent="0.25">
      <c r="A24" t="s">
        <v>289</v>
      </c>
      <c r="B24" s="38">
        <f>IFERROR(B22/B8,"")</f>
        <v>364.6326613448789</v>
      </c>
    </row>
    <row r="25" spans="1:6" x14ac:dyDescent="0.25">
      <c r="A25" t="s">
        <v>290</v>
      </c>
      <c r="B25" s="39">
        <v>4.8499999999999988E-2</v>
      </c>
    </row>
    <row r="26" spans="1:6" x14ac:dyDescent="0.25">
      <c r="A26" t="s">
        <v>291</v>
      </c>
      <c r="B26" s="40">
        <v>12.89</v>
      </c>
    </row>
    <row r="28" spans="1:6" x14ac:dyDescent="0.25">
      <c r="A28" s="34" t="s">
        <v>292</v>
      </c>
      <c r="B28" s="35"/>
      <c r="C28" s="35"/>
      <c r="D28" s="35"/>
      <c r="E28" s="35"/>
      <c r="F28" s="35"/>
    </row>
    <row r="29" spans="1:6" x14ac:dyDescent="0.25">
      <c r="A29" s="41" t="s">
        <v>293</v>
      </c>
      <c r="B29" s="41" t="s">
        <v>294</v>
      </c>
      <c r="C29" s="41" t="s">
        <v>295</v>
      </c>
      <c r="D29" s="41" t="s">
        <v>296</v>
      </c>
      <c r="E29" s="41" t="s">
        <v>297</v>
      </c>
      <c r="F29" s="41" t="s">
        <v>298</v>
      </c>
    </row>
    <row r="30" spans="1:6" x14ac:dyDescent="0.25">
      <c r="A30" t="s">
        <v>302</v>
      </c>
      <c r="B30" s="36">
        <v>7</v>
      </c>
      <c r="C30" s="48">
        <v>1577</v>
      </c>
      <c r="D30" s="31">
        <f>B30*C30</f>
        <v>11039</v>
      </c>
      <c r="E30" s="31">
        <f>D30*12</f>
        <v>132468</v>
      </c>
      <c r="F30" s="26" t="s">
        <v>45</v>
      </c>
    </row>
    <row r="31" spans="1:6" x14ac:dyDescent="0.25">
      <c r="A31" t="s">
        <v>299</v>
      </c>
      <c r="B31" s="36">
        <v>1</v>
      </c>
      <c r="C31" s="48">
        <v>2129</v>
      </c>
      <c r="D31" s="31">
        <f>B31*C31</f>
        <v>2129</v>
      </c>
      <c r="E31" s="31">
        <f>D31*12</f>
        <v>25548</v>
      </c>
      <c r="F31" s="26" t="s">
        <v>45</v>
      </c>
    </row>
    <row r="32" spans="1:6" x14ac:dyDescent="0.25">
      <c r="A32" t="s">
        <v>301</v>
      </c>
      <c r="B32" s="36">
        <v>2</v>
      </c>
      <c r="C32" s="48">
        <v>2129</v>
      </c>
      <c r="D32" s="31">
        <f>B32*C32</f>
        <v>4258</v>
      </c>
      <c r="E32" s="31">
        <f>D32*12</f>
        <v>51096</v>
      </c>
      <c r="F32" s="26" t="s">
        <v>45</v>
      </c>
    </row>
    <row r="33" spans="1:6" x14ac:dyDescent="0.25">
      <c r="A33" s="42" t="s">
        <v>303</v>
      </c>
      <c r="B33" s="43">
        <f>SUM(B30:B32)</f>
        <v>10</v>
      </c>
      <c r="C33" s="44">
        <f>IFERROR(D33/B33,"")</f>
        <v>1742.6</v>
      </c>
      <c r="D33" s="44">
        <f>SUM(D30:D32)</f>
        <v>17426</v>
      </c>
      <c r="E33" s="44">
        <f>SUM(E30:E32)</f>
        <v>209112</v>
      </c>
    </row>
    <row r="35" spans="1:6" x14ac:dyDescent="0.25">
      <c r="A35" s="34" t="s">
        <v>304</v>
      </c>
      <c r="B35" s="35"/>
      <c r="C35" s="35"/>
      <c r="D35" s="35"/>
      <c r="E35" s="35"/>
      <c r="F35" s="35"/>
    </row>
    <row r="36" spans="1:6" x14ac:dyDescent="0.25">
      <c r="A36" s="45"/>
      <c r="B36" s="45" t="s">
        <v>305</v>
      </c>
      <c r="C36" s="45" t="s">
        <v>306</v>
      </c>
      <c r="D36" s="45"/>
      <c r="E36" s="45"/>
      <c r="F36" s="45" t="s">
        <v>307</v>
      </c>
    </row>
    <row r="37" spans="1:6" x14ac:dyDescent="0.25">
      <c r="A37" t="s">
        <v>308</v>
      </c>
      <c r="B37" s="31">
        <v>209076.80372381691</v>
      </c>
      <c r="C37" s="31">
        <f>E33</f>
        <v>209112</v>
      </c>
      <c r="F37" s="26" t="s">
        <v>309</v>
      </c>
    </row>
    <row r="38" spans="1:6" x14ac:dyDescent="0.25">
      <c r="A38" t="s">
        <v>310</v>
      </c>
      <c r="B38" s="31">
        <v>0</v>
      </c>
      <c r="C38" s="28">
        <v>0</v>
      </c>
    </row>
    <row r="39" spans="1:6" x14ac:dyDescent="0.25">
      <c r="A39" s="42" t="s">
        <v>311</v>
      </c>
      <c r="B39" s="31">
        <f>B37+B38</f>
        <v>209076.80372381691</v>
      </c>
      <c r="C39" s="31">
        <f>C37+C38</f>
        <v>209112</v>
      </c>
    </row>
    <row r="40" spans="1:6" x14ac:dyDescent="0.25">
      <c r="A40" t="s">
        <v>312</v>
      </c>
      <c r="B40" s="31">
        <f>-B37*0.03</f>
        <v>-6272.3041117145067</v>
      </c>
      <c r="C40" s="31">
        <f>-C37*Assumptions!$B$3</f>
        <v>-6273.36</v>
      </c>
      <c r="F40" s="26" t="s">
        <v>313</v>
      </c>
    </row>
    <row r="41" spans="1:6" x14ac:dyDescent="0.25">
      <c r="A41" s="42" t="s">
        <v>314</v>
      </c>
      <c r="B41" s="44">
        <f>B39+B40</f>
        <v>202804.4996121024</v>
      </c>
      <c r="C41" s="44">
        <f>C39+C40</f>
        <v>202838.64</v>
      </c>
    </row>
    <row r="43" spans="1:6" x14ac:dyDescent="0.25">
      <c r="A43" s="34" t="s">
        <v>315</v>
      </c>
      <c r="B43" s="35"/>
      <c r="C43" s="35"/>
      <c r="D43" s="35"/>
      <c r="E43" s="35"/>
      <c r="F43" s="35"/>
    </row>
    <row r="44" spans="1:6" x14ac:dyDescent="0.25">
      <c r="A44" s="45" t="s">
        <v>316</v>
      </c>
      <c r="B44" s="45" t="s">
        <v>305</v>
      </c>
      <c r="C44" s="45" t="s">
        <v>317</v>
      </c>
      <c r="D44" s="45" t="s">
        <v>306</v>
      </c>
      <c r="E44" s="45" t="s">
        <v>318</v>
      </c>
      <c r="F44" s="45" t="s">
        <v>307</v>
      </c>
    </row>
    <row r="45" spans="1:6" x14ac:dyDescent="0.25">
      <c r="A45" t="s">
        <v>319</v>
      </c>
      <c r="B45" s="31"/>
      <c r="C45" s="31">
        <f>B22*Assumptions!$B$15</f>
        <v>33687.5</v>
      </c>
      <c r="D45" s="46">
        <f>C45</f>
        <v>33687.5</v>
      </c>
      <c r="E45" s="31" t="str">
        <f t="shared" ref="E45:E53" si="0">IF(ISNUMBER(B45),D45-B45,"")</f>
        <v/>
      </c>
      <c r="F45" s="26" t="s">
        <v>358</v>
      </c>
    </row>
    <row r="46" spans="1:6" x14ac:dyDescent="0.25">
      <c r="A46" t="s">
        <v>321</v>
      </c>
      <c r="B46" s="31"/>
      <c r="C46" s="31">
        <f>B7*Assumptions!$B$5+B8*Assumptions!$B$6</f>
        <v>9391</v>
      </c>
      <c r="D46" s="46">
        <f t="shared" ref="D46:D52" si="1">IF(ISNUMBER(B46),MAX(B46,C46),C46)</f>
        <v>9391</v>
      </c>
      <c r="E46" s="31" t="str">
        <f t="shared" si="0"/>
        <v/>
      </c>
      <c r="F46" s="26" t="s">
        <v>322</v>
      </c>
    </row>
    <row r="47" spans="1:6" x14ac:dyDescent="0.25">
      <c r="A47" t="s">
        <v>323</v>
      </c>
      <c r="B47" s="31"/>
      <c r="C47" s="31">
        <f>C41*Assumptions!$B$4</f>
        <v>10141.932000000001</v>
      </c>
      <c r="D47" s="46">
        <f t="shared" si="1"/>
        <v>10141.932000000001</v>
      </c>
      <c r="E47" s="31" t="str">
        <f t="shared" si="0"/>
        <v/>
      </c>
      <c r="F47" s="26" t="s">
        <v>324</v>
      </c>
    </row>
    <row r="48" spans="1:6" x14ac:dyDescent="0.25">
      <c r="A48" t="s">
        <v>325</v>
      </c>
      <c r="B48" s="31"/>
      <c r="C48" s="31">
        <f>B7*Assumptions!$B$7</f>
        <v>12000</v>
      </c>
      <c r="D48" s="46">
        <f t="shared" si="1"/>
        <v>12000</v>
      </c>
      <c r="E48" s="31" t="str">
        <f t="shared" si="0"/>
        <v/>
      </c>
      <c r="F48" s="26" t="s">
        <v>326</v>
      </c>
    </row>
    <row r="49" spans="1:6" x14ac:dyDescent="0.25">
      <c r="A49" t="s">
        <v>327</v>
      </c>
      <c r="B49" s="31"/>
      <c r="C49" s="31">
        <f>B7*Assumptions!$B$9</f>
        <v>15000</v>
      </c>
      <c r="D49" s="46">
        <f t="shared" si="1"/>
        <v>15000</v>
      </c>
      <c r="E49" s="31" t="str">
        <f t="shared" si="0"/>
        <v/>
      </c>
      <c r="F49" s="26" t="s">
        <v>328</v>
      </c>
    </row>
    <row r="50" spans="1:6" x14ac:dyDescent="0.25">
      <c r="A50" t="s">
        <v>329</v>
      </c>
      <c r="B50" s="31"/>
      <c r="C50" s="31">
        <f>B7*Assumptions!$B$12</f>
        <v>4000</v>
      </c>
      <c r="D50" s="46">
        <f t="shared" si="1"/>
        <v>4000</v>
      </c>
      <c r="E50" s="31" t="str">
        <f t="shared" si="0"/>
        <v/>
      </c>
      <c r="F50" s="26" t="s">
        <v>330</v>
      </c>
    </row>
    <row r="51" spans="1:6" x14ac:dyDescent="0.25">
      <c r="A51" t="s">
        <v>331</v>
      </c>
      <c r="B51" s="31"/>
      <c r="C51" s="31">
        <f>B7*Assumptions!$B$13</f>
        <v>2500</v>
      </c>
      <c r="D51" s="46">
        <f t="shared" si="1"/>
        <v>2500</v>
      </c>
      <c r="E51" s="31" t="str">
        <f t="shared" si="0"/>
        <v/>
      </c>
      <c r="F51" s="26" t="s">
        <v>332</v>
      </c>
    </row>
    <row r="52" spans="1:6" x14ac:dyDescent="0.25">
      <c r="A52" t="s">
        <v>333</v>
      </c>
      <c r="B52" s="31"/>
      <c r="C52" s="31">
        <f>B7*Assumptions!$B$14</f>
        <v>3000</v>
      </c>
      <c r="D52" s="46">
        <f t="shared" si="1"/>
        <v>3000</v>
      </c>
      <c r="E52" s="31" t="str">
        <f t="shared" si="0"/>
        <v/>
      </c>
      <c r="F52" s="26" t="s">
        <v>330</v>
      </c>
    </row>
    <row r="53" spans="1:6" x14ac:dyDescent="0.25">
      <c r="A53" s="42" t="s">
        <v>334</v>
      </c>
      <c r="B53" s="44">
        <f>B41-B22*B25</f>
        <v>72096.999612102431</v>
      </c>
      <c r="C53" s="44">
        <f>SUM(C45:C52)</f>
        <v>89720.432000000001</v>
      </c>
      <c r="D53" s="44">
        <f>SUM(D45:D52)</f>
        <v>89720.432000000001</v>
      </c>
      <c r="E53" s="44">
        <f t="shared" si="0"/>
        <v>17623.43238789757</v>
      </c>
      <c r="F53" s="26" t="s">
        <v>335</v>
      </c>
    </row>
    <row r="54" spans="1:6" x14ac:dyDescent="0.25">
      <c r="A54" t="s">
        <v>336</v>
      </c>
      <c r="B54" s="31">
        <f>IFERROR(B53/B7,"")</f>
        <v>7209.6999612102427</v>
      </c>
      <c r="C54" s="31">
        <f>IFERROR(C53/B7,"")</f>
        <v>8972.0432000000001</v>
      </c>
      <c r="D54" s="31">
        <f>IFERROR(D53/B7,"")</f>
        <v>8972.0432000000001</v>
      </c>
    </row>
    <row r="55" spans="1:6" x14ac:dyDescent="0.25">
      <c r="A55" t="s">
        <v>337</v>
      </c>
      <c r="B55" s="39">
        <f>IFERROR(B53/B41,"")</f>
        <v>0.35550000000000015</v>
      </c>
      <c r="C55" s="39">
        <f>IFERROR(C53/C41,"")</f>
        <v>0.44232416466606161</v>
      </c>
      <c r="D55" s="39">
        <f>IF(C37&gt;0,IFERROR(D53/C41,""),"")</f>
        <v>0.44232416466606161</v>
      </c>
    </row>
    <row r="56" spans="1:6" x14ac:dyDescent="0.25">
      <c r="A56" s="42" t="s">
        <v>18</v>
      </c>
      <c r="B56" s="47" t="str">
        <f>IF(ISNUMBER(B53),IF(D53&gt;B53*(1+Assumptions!$B$24),"OM EXPENSES LIGHT","OM expenses reasonable"),"OM expenses not published")</f>
        <v>OM EXPENSES LIGHT</v>
      </c>
    </row>
    <row r="58" spans="1:6" x14ac:dyDescent="0.25">
      <c r="A58" s="34" t="s">
        <v>338</v>
      </c>
      <c r="B58" s="35"/>
      <c r="C58" s="35"/>
      <c r="D58" s="35"/>
      <c r="E58" s="35"/>
      <c r="F58" s="35"/>
    </row>
    <row r="59" spans="1:6" x14ac:dyDescent="0.25">
      <c r="A59" s="45"/>
      <c r="B59" s="45" t="s">
        <v>305</v>
      </c>
      <c r="C59" s="45" t="s">
        <v>306</v>
      </c>
      <c r="D59" s="45"/>
      <c r="E59" s="45"/>
      <c r="F59" s="45" t="s">
        <v>307</v>
      </c>
    </row>
    <row r="60" spans="1:6" x14ac:dyDescent="0.25">
      <c r="A60" s="42" t="s">
        <v>339</v>
      </c>
      <c r="B60" s="44">
        <f>B41-B53</f>
        <v>130707.49999999997</v>
      </c>
      <c r="C60" s="44">
        <f>IF(C37&gt;0,C41-D53,"")</f>
        <v>113118.20800000001</v>
      </c>
    </row>
    <row r="61" spans="1:6" x14ac:dyDescent="0.25">
      <c r="A61" s="42" t="s">
        <v>340</v>
      </c>
      <c r="B61" s="39">
        <f>IFERROR(B60/B22,"")</f>
        <v>4.8499999999999988E-2</v>
      </c>
      <c r="C61" s="39">
        <f>IF(C60="","",IFERROR(C60/B22,""))</f>
        <v>4.1973361038961043E-2</v>
      </c>
      <c r="F61" s="26" t="s">
        <v>341</v>
      </c>
    </row>
    <row r="62" spans="1:6" x14ac:dyDescent="0.25">
      <c r="A62" t="s">
        <v>342</v>
      </c>
      <c r="B62" s="40">
        <f>IFERROR(B22/B37,"")</f>
        <v>12.89</v>
      </c>
      <c r="C62" s="40">
        <f>IF(C37&gt;0,IFERROR(B22/C37,""),"")</f>
        <v>12.887830444929033</v>
      </c>
    </row>
    <row r="63" spans="1:6" x14ac:dyDescent="0.25">
      <c r="A63" t="s">
        <v>343</v>
      </c>
      <c r="B63" s="31">
        <f>IFERROR(B60/B7,"")</f>
        <v>13070.749999999996</v>
      </c>
      <c r="C63" s="31">
        <f>IF(C60="","",IFERROR(C60/B7,""))</f>
        <v>11311.820800000001</v>
      </c>
    </row>
    <row r="65" spans="1:6" x14ac:dyDescent="0.25">
      <c r="A65" s="34" t="s">
        <v>344</v>
      </c>
      <c r="B65" s="35"/>
      <c r="C65" s="35"/>
      <c r="D65" s="35"/>
      <c r="E65" s="35"/>
      <c r="F65" s="35"/>
    </row>
    <row r="66" spans="1:6" x14ac:dyDescent="0.25">
      <c r="A66" t="s">
        <v>345</v>
      </c>
      <c r="B66" s="31">
        <f>IFERROR(B22*Assumptions!$B$20,"")</f>
        <v>1617000</v>
      </c>
    </row>
    <row r="67" spans="1:6" x14ac:dyDescent="0.25">
      <c r="A67" t="s">
        <v>346</v>
      </c>
      <c r="B67" s="31">
        <f>IF(C60="","",IFERROR(PV(Assumptions!$B$22/12,Assumptions!$B$23*12,-C60/Assumptions!$B$21/12),""))</f>
        <v>1224785.3172599794</v>
      </c>
    </row>
    <row r="68" spans="1:6" x14ac:dyDescent="0.25">
      <c r="A68" s="42" t="s">
        <v>347</v>
      </c>
      <c r="B68" s="31">
        <f>IFERROR(MIN(B66,B67),"")</f>
        <v>1224785.3172599794</v>
      </c>
    </row>
    <row r="69" spans="1:6" x14ac:dyDescent="0.25">
      <c r="A69" t="s">
        <v>348</v>
      </c>
      <c r="B69" s="31">
        <f>IFERROR(B22-B68,"")</f>
        <v>1470214.6827400206</v>
      </c>
    </row>
    <row r="70" spans="1:6" x14ac:dyDescent="0.25">
      <c r="A70" t="s">
        <v>349</v>
      </c>
      <c r="B70" s="31">
        <f>IFERROR(-PMT(Assumptions!$B$22/12,Assumptions!$B$23*12,B68)*12,"")</f>
        <v>90494.56639999972</v>
      </c>
    </row>
    <row r="71" spans="1:6" x14ac:dyDescent="0.25">
      <c r="A71" t="s">
        <v>350</v>
      </c>
      <c r="B71" s="40">
        <f>IFERROR(C60/B70,"")</f>
        <v>1.250000000000004</v>
      </c>
    </row>
    <row r="72" spans="1:6" x14ac:dyDescent="0.25">
      <c r="A72" t="s">
        <v>351</v>
      </c>
      <c r="B72" s="31">
        <f>IFERROR(C60-B70,"")</f>
        <v>22623.641600000294</v>
      </c>
    </row>
    <row r="73" spans="1:6" x14ac:dyDescent="0.25">
      <c r="A73" t="s">
        <v>352</v>
      </c>
      <c r="B73" s="39">
        <f>IFERROR(B72/B69,"")</f>
        <v>1.5387985078367533E-2</v>
      </c>
    </row>
    <row r="75" spans="1:6" x14ac:dyDescent="0.25">
      <c r="A75" s="26" t="s">
        <v>353</v>
      </c>
    </row>
  </sheetData>
  <hyperlinks>
    <hyperlink ref="A3" r:id="rId1" xr:uid="{00000000-0004-0000-1A00-000000000000}"/>
  </hyperlinks>
  <pageMargins left="0.75" right="0.75" top="1" bottom="1" header="0.5" footer="0.5"/>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F75"/>
  <sheetViews>
    <sheetView showGridLines="0" workbookViewId="0">
      <pane ySplit="5" topLeftCell="A6" activePane="bottomLeft" state="frozen"/>
      <selection pane="bottomLeft"/>
    </sheetView>
  </sheetViews>
  <sheetFormatPr defaultRowHeight="15" x14ac:dyDescent="0.25"/>
  <cols>
    <col min="1" max="1" width="38" customWidth="1"/>
    <col min="2" max="5" width="16" customWidth="1"/>
    <col min="6" max="6" width="48" customWidth="1"/>
    <col min="7" max="7" width="12" customWidth="1"/>
  </cols>
  <sheetData>
    <row r="1" spans="1:3" ht="19.5" x14ac:dyDescent="0.3">
      <c r="A1" s="1" t="s">
        <v>159</v>
      </c>
    </row>
    <row r="2" spans="1:3" x14ac:dyDescent="0.25">
      <c r="A2" s="32" t="s">
        <v>366</v>
      </c>
    </row>
    <row r="3" spans="1:3" x14ac:dyDescent="0.25">
      <c r="A3" s="33" t="s">
        <v>271</v>
      </c>
      <c r="B3" s="26" t="s">
        <v>272</v>
      </c>
    </row>
    <row r="4" spans="1:3" x14ac:dyDescent="0.25">
      <c r="A4" s="47" t="s">
        <v>446</v>
      </c>
    </row>
    <row r="6" spans="1:3" x14ac:dyDescent="0.25">
      <c r="A6" s="34" t="s">
        <v>273</v>
      </c>
      <c r="B6" s="35"/>
      <c r="C6" s="35"/>
    </row>
    <row r="7" spans="1:3" x14ac:dyDescent="0.25">
      <c r="A7" t="s">
        <v>7</v>
      </c>
      <c r="B7" s="36">
        <v>17</v>
      </c>
    </row>
    <row r="8" spans="1:3" x14ac:dyDescent="0.25">
      <c r="A8" t="s">
        <v>274</v>
      </c>
      <c r="B8" s="36">
        <v>13506</v>
      </c>
    </row>
    <row r="9" spans="1:3" x14ac:dyDescent="0.25">
      <c r="A9" t="s">
        <v>10</v>
      </c>
      <c r="B9" s="36">
        <v>14375</v>
      </c>
    </row>
    <row r="10" spans="1:3" x14ac:dyDescent="0.25">
      <c r="A10" t="s">
        <v>275</v>
      </c>
      <c r="B10" s="37">
        <v>0.33</v>
      </c>
    </row>
    <row r="11" spans="1:3" x14ac:dyDescent="0.25">
      <c r="A11" t="s">
        <v>8</v>
      </c>
      <c r="B11">
        <v>1957</v>
      </c>
    </row>
    <row r="12" spans="1:3" x14ac:dyDescent="0.25">
      <c r="A12" t="s">
        <v>276</v>
      </c>
      <c r="B12" t="s">
        <v>355</v>
      </c>
    </row>
    <row r="13" spans="1:3" x14ac:dyDescent="0.25">
      <c r="A13" t="s">
        <v>278</v>
      </c>
      <c r="B13" t="s">
        <v>447</v>
      </c>
    </row>
    <row r="14" spans="1:3" x14ac:dyDescent="0.25">
      <c r="A14" t="s">
        <v>280</v>
      </c>
      <c r="B14" t="s">
        <v>34</v>
      </c>
    </row>
    <row r="15" spans="1:3" x14ac:dyDescent="0.25">
      <c r="A15" t="s">
        <v>281</v>
      </c>
      <c r="B15" t="s">
        <v>448</v>
      </c>
    </row>
    <row r="16" spans="1:3" x14ac:dyDescent="0.25">
      <c r="A16" t="s">
        <v>283</v>
      </c>
      <c r="B16" s="31">
        <v>2622357</v>
      </c>
    </row>
    <row r="17" spans="1:6" x14ac:dyDescent="0.25">
      <c r="A17" t="s">
        <v>284</v>
      </c>
      <c r="B17" t="s">
        <v>160</v>
      </c>
    </row>
    <row r="18" spans="1:6" x14ac:dyDescent="0.25">
      <c r="A18" t="s">
        <v>285</v>
      </c>
      <c r="B18" t="s">
        <v>161</v>
      </c>
    </row>
    <row r="19" spans="1:6" x14ac:dyDescent="0.25">
      <c r="A19" t="s">
        <v>286</v>
      </c>
      <c r="B19" t="s">
        <v>161</v>
      </c>
    </row>
    <row r="21" spans="1:6" x14ac:dyDescent="0.25">
      <c r="A21" s="34" t="s">
        <v>287</v>
      </c>
      <c r="B21" s="35"/>
      <c r="C21" s="35"/>
    </row>
    <row r="22" spans="1:6" x14ac:dyDescent="0.25">
      <c r="A22" t="s">
        <v>11</v>
      </c>
      <c r="B22" s="28">
        <v>6695000</v>
      </c>
    </row>
    <row r="23" spans="1:6" x14ac:dyDescent="0.25">
      <c r="A23" t="s">
        <v>288</v>
      </c>
      <c r="B23" s="31">
        <f>IFERROR(B22/B7,"")</f>
        <v>393823.5294117647</v>
      </c>
    </row>
    <row r="24" spans="1:6" x14ac:dyDescent="0.25">
      <c r="A24" t="s">
        <v>289</v>
      </c>
      <c r="B24" s="38">
        <f>IFERROR(B22/B8,"")</f>
        <v>495.70561232045014</v>
      </c>
    </row>
    <row r="25" spans="1:6" x14ac:dyDescent="0.25">
      <c r="A25" t="s">
        <v>290</v>
      </c>
      <c r="B25" s="39">
        <v>4.8000000000000001E-2</v>
      </c>
    </row>
    <row r="26" spans="1:6" x14ac:dyDescent="0.25">
      <c r="A26" t="s">
        <v>291</v>
      </c>
      <c r="B26" s="40">
        <v>12.8</v>
      </c>
    </row>
    <row r="28" spans="1:6" x14ac:dyDescent="0.25">
      <c r="A28" s="34" t="s">
        <v>292</v>
      </c>
      <c r="B28" s="35"/>
      <c r="C28" s="35"/>
      <c r="D28" s="35"/>
      <c r="E28" s="35"/>
      <c r="F28" s="35"/>
    </row>
    <row r="29" spans="1:6" x14ac:dyDescent="0.25">
      <c r="A29" s="41" t="s">
        <v>293</v>
      </c>
      <c r="B29" s="41" t="s">
        <v>294</v>
      </c>
      <c r="C29" s="41" t="s">
        <v>295</v>
      </c>
      <c r="D29" s="41" t="s">
        <v>296</v>
      </c>
      <c r="E29" s="41" t="s">
        <v>297</v>
      </c>
      <c r="F29" s="41" t="s">
        <v>298</v>
      </c>
    </row>
    <row r="30" spans="1:6" x14ac:dyDescent="0.25">
      <c r="A30" t="s">
        <v>302</v>
      </c>
      <c r="B30" s="36">
        <v>4</v>
      </c>
      <c r="C30" s="28">
        <v>1861</v>
      </c>
      <c r="D30" s="31">
        <f>B30*C30</f>
        <v>7444</v>
      </c>
      <c r="E30" s="31">
        <f>D30*12</f>
        <v>89328</v>
      </c>
      <c r="F30" s="26" t="s">
        <v>38</v>
      </c>
    </row>
    <row r="31" spans="1:6" x14ac:dyDescent="0.25">
      <c r="A31" t="s">
        <v>301</v>
      </c>
      <c r="B31" s="36">
        <v>9</v>
      </c>
      <c r="C31" s="28">
        <v>2758</v>
      </c>
      <c r="D31" s="31">
        <f>B31*C31</f>
        <v>24822</v>
      </c>
      <c r="E31" s="31">
        <f>D31*12</f>
        <v>297864</v>
      </c>
      <c r="F31" s="26" t="s">
        <v>38</v>
      </c>
    </row>
    <row r="32" spans="1:6" x14ac:dyDescent="0.25">
      <c r="A32" t="s">
        <v>299</v>
      </c>
      <c r="B32" s="36">
        <v>4</v>
      </c>
      <c r="C32" s="28">
        <v>2610</v>
      </c>
      <c r="D32" s="31">
        <f>B32*C32</f>
        <v>10440</v>
      </c>
      <c r="E32" s="31">
        <f>D32*12</f>
        <v>125280</v>
      </c>
      <c r="F32" s="26" t="s">
        <v>38</v>
      </c>
    </row>
    <row r="33" spans="1:6" x14ac:dyDescent="0.25">
      <c r="A33" s="42" t="s">
        <v>303</v>
      </c>
      <c r="B33" s="43">
        <f>SUM(B30:B32)</f>
        <v>17</v>
      </c>
      <c r="C33" s="44">
        <f>IFERROR(D33/B33,"")</f>
        <v>2512.1176470588234</v>
      </c>
      <c r="D33" s="44">
        <f>SUM(D30:D32)</f>
        <v>42706</v>
      </c>
      <c r="E33" s="44">
        <f>SUM(E30:E32)</f>
        <v>512472</v>
      </c>
    </row>
    <row r="35" spans="1:6" x14ac:dyDescent="0.25">
      <c r="A35" s="34" t="s">
        <v>304</v>
      </c>
      <c r="B35" s="35"/>
      <c r="C35" s="35"/>
      <c r="D35" s="35"/>
      <c r="E35" s="35"/>
      <c r="F35" s="35"/>
    </row>
    <row r="36" spans="1:6" x14ac:dyDescent="0.25">
      <c r="A36" s="45"/>
      <c r="B36" s="45" t="s">
        <v>305</v>
      </c>
      <c r="C36" s="45" t="s">
        <v>306</v>
      </c>
      <c r="D36" s="45"/>
      <c r="E36" s="45"/>
      <c r="F36" s="45" t="s">
        <v>307</v>
      </c>
    </row>
    <row r="37" spans="1:6" x14ac:dyDescent="0.25">
      <c r="A37" t="s">
        <v>308</v>
      </c>
      <c r="B37" s="31">
        <v>523046.875</v>
      </c>
      <c r="C37" s="31">
        <f>E33</f>
        <v>512472</v>
      </c>
      <c r="F37" s="26" t="s">
        <v>309</v>
      </c>
    </row>
    <row r="38" spans="1:6" x14ac:dyDescent="0.25">
      <c r="A38" t="s">
        <v>310</v>
      </c>
      <c r="B38" s="31">
        <v>0</v>
      </c>
      <c r="C38" s="28">
        <v>0</v>
      </c>
    </row>
    <row r="39" spans="1:6" x14ac:dyDescent="0.25">
      <c r="A39" s="42" t="s">
        <v>311</v>
      </c>
      <c r="B39" s="31">
        <f>B37+B38</f>
        <v>523046.875</v>
      </c>
      <c r="C39" s="31">
        <f>C37+C38</f>
        <v>512472</v>
      </c>
    </row>
    <row r="40" spans="1:6" x14ac:dyDescent="0.25">
      <c r="A40" t="s">
        <v>312</v>
      </c>
      <c r="B40" s="31">
        <f>-B37*0.03</f>
        <v>-15691.40625</v>
      </c>
      <c r="C40" s="31">
        <f>-C37*Assumptions!$B$3</f>
        <v>-15374.16</v>
      </c>
      <c r="F40" s="26" t="s">
        <v>313</v>
      </c>
    </row>
    <row r="41" spans="1:6" x14ac:dyDescent="0.25">
      <c r="A41" s="42" t="s">
        <v>314</v>
      </c>
      <c r="B41" s="44">
        <f>B39+B40</f>
        <v>507355.46875</v>
      </c>
      <c r="C41" s="44">
        <f>C39+C40</f>
        <v>497097.84</v>
      </c>
    </row>
    <row r="43" spans="1:6" x14ac:dyDescent="0.25">
      <c r="A43" s="34" t="s">
        <v>315</v>
      </c>
      <c r="B43" s="35"/>
      <c r="C43" s="35"/>
      <c r="D43" s="35"/>
      <c r="E43" s="35"/>
      <c r="F43" s="35"/>
    </row>
    <row r="44" spans="1:6" x14ac:dyDescent="0.25">
      <c r="A44" s="45" t="s">
        <v>316</v>
      </c>
      <c r="B44" s="45" t="s">
        <v>305</v>
      </c>
      <c r="C44" s="45" t="s">
        <v>317</v>
      </c>
      <c r="D44" s="45" t="s">
        <v>306</v>
      </c>
      <c r="E44" s="45" t="s">
        <v>318</v>
      </c>
      <c r="F44" s="45" t="s">
        <v>307</v>
      </c>
    </row>
    <row r="45" spans="1:6" x14ac:dyDescent="0.25">
      <c r="A45" t="s">
        <v>319</v>
      </c>
      <c r="B45" s="31"/>
      <c r="C45" s="31">
        <f>B22*Assumptions!$B$15</f>
        <v>83687.5</v>
      </c>
      <c r="D45" s="46">
        <f>C45</f>
        <v>83687.5</v>
      </c>
      <c r="E45" s="31" t="str">
        <f t="shared" ref="E45:E53" si="0">IF(ISNUMBER(B45),D45-B45,"")</f>
        <v/>
      </c>
      <c r="F45" s="26" t="s">
        <v>358</v>
      </c>
    </row>
    <row r="46" spans="1:6" x14ac:dyDescent="0.25">
      <c r="A46" t="s">
        <v>321</v>
      </c>
      <c r="B46" s="31"/>
      <c r="C46" s="31">
        <f>B7*Assumptions!$B$5+B8*Assumptions!$B$6</f>
        <v>16906</v>
      </c>
      <c r="D46" s="46">
        <f t="shared" ref="D46:D52" si="1">IF(ISNUMBER(B46),MAX(B46,C46),C46)</f>
        <v>16906</v>
      </c>
      <c r="E46" s="31" t="str">
        <f t="shared" si="0"/>
        <v/>
      </c>
      <c r="F46" s="26" t="s">
        <v>322</v>
      </c>
    </row>
    <row r="47" spans="1:6" x14ac:dyDescent="0.25">
      <c r="A47" t="s">
        <v>323</v>
      </c>
      <c r="B47" s="31"/>
      <c r="C47" s="31">
        <f>C41*Assumptions!$B$4</f>
        <v>24854.892000000003</v>
      </c>
      <c r="D47" s="46">
        <f t="shared" si="1"/>
        <v>24854.892000000003</v>
      </c>
      <c r="E47" s="31" t="str">
        <f t="shared" si="0"/>
        <v/>
      </c>
      <c r="F47" s="26" t="s">
        <v>324</v>
      </c>
    </row>
    <row r="48" spans="1:6" x14ac:dyDescent="0.25">
      <c r="A48" t="s">
        <v>325</v>
      </c>
      <c r="B48" s="31"/>
      <c r="C48" s="31">
        <f>B7*Assumptions!$B$7</f>
        <v>20400</v>
      </c>
      <c r="D48" s="46">
        <f t="shared" si="1"/>
        <v>20400</v>
      </c>
      <c r="E48" s="31" t="str">
        <f t="shared" si="0"/>
        <v/>
      </c>
      <c r="F48" s="26" t="s">
        <v>326</v>
      </c>
    </row>
    <row r="49" spans="1:6" x14ac:dyDescent="0.25">
      <c r="A49" t="s">
        <v>327</v>
      </c>
      <c r="B49" s="31"/>
      <c r="C49" s="31">
        <f>B7*Assumptions!$B$9</f>
        <v>25500</v>
      </c>
      <c r="D49" s="46">
        <f t="shared" si="1"/>
        <v>25500</v>
      </c>
      <c r="E49" s="31" t="str">
        <f t="shared" si="0"/>
        <v/>
      </c>
      <c r="F49" s="26" t="s">
        <v>328</v>
      </c>
    </row>
    <row r="50" spans="1:6" x14ac:dyDescent="0.25">
      <c r="A50" t="s">
        <v>329</v>
      </c>
      <c r="B50" s="31"/>
      <c r="C50" s="31">
        <f>B7*Assumptions!$B$12</f>
        <v>6800</v>
      </c>
      <c r="D50" s="46">
        <f t="shared" si="1"/>
        <v>6800</v>
      </c>
      <c r="E50" s="31" t="str">
        <f t="shared" si="0"/>
        <v/>
      </c>
      <c r="F50" s="26" t="s">
        <v>330</v>
      </c>
    </row>
    <row r="51" spans="1:6" x14ac:dyDescent="0.25">
      <c r="A51" t="s">
        <v>331</v>
      </c>
      <c r="B51" s="31"/>
      <c r="C51" s="31">
        <f>B7*Assumptions!$B$13</f>
        <v>4250</v>
      </c>
      <c r="D51" s="46">
        <f t="shared" si="1"/>
        <v>4250</v>
      </c>
      <c r="E51" s="31" t="str">
        <f t="shared" si="0"/>
        <v/>
      </c>
      <c r="F51" s="26" t="s">
        <v>332</v>
      </c>
    </row>
    <row r="52" spans="1:6" x14ac:dyDescent="0.25">
      <c r="A52" t="s">
        <v>333</v>
      </c>
      <c r="B52" s="31"/>
      <c r="C52" s="31">
        <f>B7*Assumptions!$B$14</f>
        <v>5100</v>
      </c>
      <c r="D52" s="46">
        <f t="shared" si="1"/>
        <v>5100</v>
      </c>
      <c r="E52" s="31" t="str">
        <f t="shared" si="0"/>
        <v/>
      </c>
      <c r="F52" s="26" t="s">
        <v>330</v>
      </c>
    </row>
    <row r="53" spans="1:6" x14ac:dyDescent="0.25">
      <c r="A53" s="42" t="s">
        <v>334</v>
      </c>
      <c r="B53" s="44">
        <f>B41-B22*B25</f>
        <v>185995.46875</v>
      </c>
      <c r="C53" s="44">
        <f>SUM(C45:C52)</f>
        <v>187498.39199999999</v>
      </c>
      <c r="D53" s="44">
        <f>SUM(D45:D52)</f>
        <v>187498.39199999999</v>
      </c>
      <c r="E53" s="44">
        <f t="shared" si="0"/>
        <v>1502.9232499999925</v>
      </c>
      <c r="F53" s="26" t="s">
        <v>335</v>
      </c>
    </row>
    <row r="54" spans="1:6" x14ac:dyDescent="0.25">
      <c r="A54" t="s">
        <v>336</v>
      </c>
      <c r="B54" s="31">
        <f>IFERROR(B53/B7,"")</f>
        <v>10940.909926470587</v>
      </c>
      <c r="C54" s="31">
        <f>IFERROR(C53/B7,"")</f>
        <v>11029.317176470588</v>
      </c>
      <c r="D54" s="31">
        <f>IFERROR(D53/B7,"")</f>
        <v>11029.317176470588</v>
      </c>
    </row>
    <row r="55" spans="1:6" x14ac:dyDescent="0.25">
      <c r="A55" t="s">
        <v>337</v>
      </c>
      <c r="B55" s="39">
        <f>IFERROR(B53/B41,"")</f>
        <v>0.36659793814432989</v>
      </c>
      <c r="C55" s="39">
        <f>IFERROR(C53/C41,"")</f>
        <v>0.37718609278205673</v>
      </c>
      <c r="D55" s="39">
        <f>IF(C37&gt;0,IFERROR(D53/C41,""),"")</f>
        <v>0.37718609278205673</v>
      </c>
    </row>
    <row r="56" spans="1:6" x14ac:dyDescent="0.25">
      <c r="A56" s="42" t="s">
        <v>18</v>
      </c>
      <c r="B56" s="47" t="str">
        <f>IF(ISNUMBER(B53),IF(D53&gt;B53*(1+Assumptions!$B$24),"OM EXPENSES LIGHT","OM expenses reasonable"),"OM expenses not published")</f>
        <v>OM expenses reasonable</v>
      </c>
    </row>
    <row r="58" spans="1:6" x14ac:dyDescent="0.25">
      <c r="A58" s="34" t="s">
        <v>338</v>
      </c>
      <c r="B58" s="35"/>
      <c r="C58" s="35"/>
      <c r="D58" s="35"/>
      <c r="E58" s="35"/>
      <c r="F58" s="35"/>
    </row>
    <row r="59" spans="1:6" x14ac:dyDescent="0.25">
      <c r="A59" s="45"/>
      <c r="B59" s="45" t="s">
        <v>305</v>
      </c>
      <c r="C59" s="45" t="s">
        <v>306</v>
      </c>
      <c r="D59" s="45"/>
      <c r="E59" s="45"/>
      <c r="F59" s="45" t="s">
        <v>307</v>
      </c>
    </row>
    <row r="60" spans="1:6" x14ac:dyDescent="0.25">
      <c r="A60" s="42" t="s">
        <v>339</v>
      </c>
      <c r="B60" s="44">
        <f>B41-B53</f>
        <v>321360</v>
      </c>
      <c r="C60" s="44">
        <f>IF(C37&gt;0,C41-D53,"")</f>
        <v>309599.44800000003</v>
      </c>
    </row>
    <row r="61" spans="1:6" x14ac:dyDescent="0.25">
      <c r="A61" s="42" t="s">
        <v>340</v>
      </c>
      <c r="B61" s="39">
        <f>IFERROR(B60/B22,"")</f>
        <v>4.8000000000000001E-2</v>
      </c>
      <c r="C61" s="39">
        <f>IF(C60="","",IFERROR(C60/B22,""))</f>
        <v>4.6243382823002242E-2</v>
      </c>
      <c r="F61" s="26" t="s">
        <v>341</v>
      </c>
    </row>
    <row r="62" spans="1:6" x14ac:dyDescent="0.25">
      <c r="A62" t="s">
        <v>342</v>
      </c>
      <c r="B62" s="40">
        <f>IFERROR(B22/B37,"")</f>
        <v>12.8</v>
      </c>
      <c r="C62" s="40">
        <f>IF(C37&gt;0,IFERROR(B22/C37,""),"")</f>
        <v>13.064128381648167</v>
      </c>
    </row>
    <row r="63" spans="1:6" x14ac:dyDescent="0.25">
      <c r="A63" t="s">
        <v>343</v>
      </c>
      <c r="B63" s="31">
        <f>IFERROR(B60/B7,"")</f>
        <v>18903.529411764706</v>
      </c>
      <c r="C63" s="31">
        <f>IF(C60="","",IFERROR(C60/B7,""))</f>
        <v>18211.732235294119</v>
      </c>
    </row>
    <row r="65" spans="1:6" x14ac:dyDescent="0.25">
      <c r="A65" s="34" t="s">
        <v>344</v>
      </c>
      <c r="B65" s="35"/>
      <c r="C65" s="35"/>
      <c r="D65" s="35"/>
      <c r="E65" s="35"/>
      <c r="F65" s="35"/>
    </row>
    <row r="66" spans="1:6" x14ac:dyDescent="0.25">
      <c r="A66" t="s">
        <v>345</v>
      </c>
      <c r="B66" s="31">
        <f>IFERROR(B22*Assumptions!$B$20,"")</f>
        <v>4017000</v>
      </c>
    </row>
    <row r="67" spans="1:6" x14ac:dyDescent="0.25">
      <c r="A67" t="s">
        <v>346</v>
      </c>
      <c r="B67" s="31">
        <f>IF(C60="","",IFERROR(PV(Assumptions!$B$22/12,Assumptions!$B$23*12,-C60/Assumptions!$B$21/12),""))</f>
        <v>3352182.3307366618</v>
      </c>
    </row>
    <row r="68" spans="1:6" x14ac:dyDescent="0.25">
      <c r="A68" s="42" t="s">
        <v>347</v>
      </c>
      <c r="B68" s="31">
        <f>IFERROR(MIN(B66,B67),"")</f>
        <v>3352182.3307366618</v>
      </c>
    </row>
    <row r="69" spans="1:6" x14ac:dyDescent="0.25">
      <c r="A69" t="s">
        <v>348</v>
      </c>
      <c r="B69" s="31">
        <f>IFERROR(B22-B68,"")</f>
        <v>3342817.6692633382</v>
      </c>
    </row>
    <row r="70" spans="1:6" x14ac:dyDescent="0.25">
      <c r="A70" t="s">
        <v>349</v>
      </c>
      <c r="B70" s="31">
        <f>IFERROR(-PMT(Assumptions!$B$22/12,Assumptions!$B$23*12,B68)*12,"")</f>
        <v>247679.55839999922</v>
      </c>
    </row>
    <row r="71" spans="1:6" x14ac:dyDescent="0.25">
      <c r="A71" t="s">
        <v>350</v>
      </c>
      <c r="B71" s="40">
        <f>IFERROR(C60/B70,"")</f>
        <v>1.250000000000004</v>
      </c>
    </row>
    <row r="72" spans="1:6" x14ac:dyDescent="0.25">
      <c r="A72" t="s">
        <v>351</v>
      </c>
      <c r="B72" s="31">
        <f>IFERROR(C60-B70,"")</f>
        <v>61919.88960000081</v>
      </c>
    </row>
    <row r="73" spans="1:6" x14ac:dyDescent="0.25">
      <c r="A73" t="s">
        <v>352</v>
      </c>
      <c r="B73" s="39">
        <f>IFERROR(B72/B69,"")</f>
        <v>1.8523262626419644E-2</v>
      </c>
    </row>
    <row r="75" spans="1:6" x14ac:dyDescent="0.25">
      <c r="A75" s="26" t="s">
        <v>353</v>
      </c>
    </row>
  </sheetData>
  <hyperlinks>
    <hyperlink ref="A3" r:id="rId1" xr:uid="{00000000-0004-0000-1B00-000000000000}"/>
  </hyperlinks>
  <pageMargins left="0.75" right="0.75" top="1" bottom="1" header="0.5" footer="0.5"/>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F74"/>
  <sheetViews>
    <sheetView showGridLines="0" workbookViewId="0">
      <pane ySplit="5" topLeftCell="A6" activePane="bottomLeft" state="frozen"/>
      <selection pane="bottomLeft"/>
    </sheetView>
  </sheetViews>
  <sheetFormatPr defaultRowHeight="15" x14ac:dyDescent="0.25"/>
  <cols>
    <col min="1" max="1" width="38" customWidth="1"/>
    <col min="2" max="5" width="16" customWidth="1"/>
    <col min="6" max="6" width="48" customWidth="1"/>
    <col min="7" max="7" width="12" customWidth="1"/>
  </cols>
  <sheetData>
    <row r="1" spans="1:3" ht="19.5" x14ac:dyDescent="0.3">
      <c r="A1" s="1" t="s">
        <v>163</v>
      </c>
    </row>
    <row r="2" spans="1:3" x14ac:dyDescent="0.25">
      <c r="A2" s="32" t="s">
        <v>270</v>
      </c>
    </row>
    <row r="3" spans="1:3" x14ac:dyDescent="0.25">
      <c r="A3" s="33" t="s">
        <v>271</v>
      </c>
      <c r="B3" s="26" t="s">
        <v>272</v>
      </c>
    </row>
    <row r="6" spans="1:3" x14ac:dyDescent="0.25">
      <c r="A6" s="34" t="s">
        <v>273</v>
      </c>
      <c r="B6" s="35"/>
      <c r="C6" s="35"/>
    </row>
    <row r="7" spans="1:3" x14ac:dyDescent="0.25">
      <c r="A7" t="s">
        <v>7</v>
      </c>
      <c r="B7" s="36">
        <v>10</v>
      </c>
    </row>
    <row r="8" spans="1:3" x14ac:dyDescent="0.25">
      <c r="A8" t="s">
        <v>274</v>
      </c>
      <c r="B8" s="36">
        <v>7068</v>
      </c>
    </row>
    <row r="9" spans="1:3" x14ac:dyDescent="0.25">
      <c r="A9" t="s">
        <v>10</v>
      </c>
      <c r="B9" s="36">
        <v>7841</v>
      </c>
    </row>
    <row r="10" spans="1:3" x14ac:dyDescent="0.25">
      <c r="A10" t="s">
        <v>275</v>
      </c>
      <c r="B10" s="37">
        <v>0.18</v>
      </c>
    </row>
    <row r="11" spans="1:3" x14ac:dyDescent="0.25">
      <c r="A11" t="s">
        <v>8</v>
      </c>
      <c r="B11">
        <v>1957</v>
      </c>
    </row>
    <row r="12" spans="1:3" x14ac:dyDescent="0.25">
      <c r="A12" t="s">
        <v>276</v>
      </c>
      <c r="B12" t="s">
        <v>355</v>
      </c>
    </row>
    <row r="13" spans="1:3" x14ac:dyDescent="0.25">
      <c r="A13" t="s">
        <v>278</v>
      </c>
      <c r="B13" t="s">
        <v>449</v>
      </c>
    </row>
    <row r="14" spans="1:3" x14ac:dyDescent="0.25">
      <c r="A14" t="s">
        <v>280</v>
      </c>
      <c r="B14" t="s">
        <v>34</v>
      </c>
    </row>
    <row r="15" spans="1:3" x14ac:dyDescent="0.25">
      <c r="A15" t="s">
        <v>281</v>
      </c>
      <c r="B15" t="s">
        <v>450</v>
      </c>
    </row>
    <row r="16" spans="1:3" x14ac:dyDescent="0.25">
      <c r="A16" t="s">
        <v>283</v>
      </c>
      <c r="B16" s="31">
        <v>2854036</v>
      </c>
    </row>
    <row r="17" spans="1:6" x14ac:dyDescent="0.25">
      <c r="A17" t="s">
        <v>284</v>
      </c>
      <c r="B17" t="s">
        <v>164</v>
      </c>
    </row>
    <row r="18" spans="1:6" x14ac:dyDescent="0.25">
      <c r="A18" t="s">
        <v>285</v>
      </c>
      <c r="B18" t="s">
        <v>165</v>
      </c>
    </row>
    <row r="19" spans="1:6" x14ac:dyDescent="0.25">
      <c r="A19" t="s">
        <v>286</v>
      </c>
      <c r="B19" t="s">
        <v>166</v>
      </c>
    </row>
    <row r="21" spans="1:6" x14ac:dyDescent="0.25">
      <c r="A21" s="34" t="s">
        <v>287</v>
      </c>
      <c r="B21" s="35"/>
      <c r="C21" s="35"/>
    </row>
    <row r="22" spans="1:6" x14ac:dyDescent="0.25">
      <c r="A22" t="s">
        <v>11</v>
      </c>
      <c r="B22" s="28">
        <v>3800000</v>
      </c>
    </row>
    <row r="23" spans="1:6" x14ac:dyDescent="0.25">
      <c r="A23" t="s">
        <v>288</v>
      </c>
      <c r="B23" s="31">
        <f>IFERROR(B22/B7,"")</f>
        <v>380000</v>
      </c>
    </row>
    <row r="24" spans="1:6" x14ac:dyDescent="0.25">
      <c r="A24" t="s">
        <v>289</v>
      </c>
      <c r="B24" s="38">
        <f>IFERROR(B22/B8,"")</f>
        <v>537.63440860215053</v>
      </c>
    </row>
    <row r="25" spans="1:6" x14ac:dyDescent="0.25">
      <c r="A25" t="s">
        <v>290</v>
      </c>
      <c r="B25" s="39">
        <v>4.3899999999999988E-2</v>
      </c>
    </row>
    <row r="26" spans="1:6" x14ac:dyDescent="0.25">
      <c r="A26" t="s">
        <v>291</v>
      </c>
      <c r="B26" s="40">
        <v>16.41</v>
      </c>
    </row>
    <row r="28" spans="1:6" x14ac:dyDescent="0.25">
      <c r="A28" s="34" t="s">
        <v>292</v>
      </c>
      <c r="B28" s="35"/>
      <c r="C28" s="35"/>
      <c r="D28" s="35"/>
      <c r="E28" s="35"/>
      <c r="F28" s="35"/>
    </row>
    <row r="29" spans="1:6" x14ac:dyDescent="0.25">
      <c r="A29" s="41" t="s">
        <v>293</v>
      </c>
      <c r="B29" s="41" t="s">
        <v>294</v>
      </c>
      <c r="C29" s="41" t="s">
        <v>295</v>
      </c>
      <c r="D29" s="41" t="s">
        <v>296</v>
      </c>
      <c r="E29" s="41" t="s">
        <v>297</v>
      </c>
      <c r="F29" s="41" t="s">
        <v>298</v>
      </c>
    </row>
    <row r="30" spans="1:6" x14ac:dyDescent="0.25">
      <c r="A30" t="s">
        <v>407</v>
      </c>
      <c r="B30" s="36">
        <v>7</v>
      </c>
      <c r="C30" s="28">
        <v>1907</v>
      </c>
      <c r="D30" s="31">
        <f>B30*C30</f>
        <v>13349</v>
      </c>
      <c r="E30" s="31">
        <f>D30*12</f>
        <v>160188</v>
      </c>
      <c r="F30" s="26" t="s">
        <v>38</v>
      </c>
    </row>
    <row r="31" spans="1:6" x14ac:dyDescent="0.25">
      <c r="A31" t="s">
        <v>451</v>
      </c>
      <c r="B31" s="36">
        <v>3</v>
      </c>
      <c r="C31" s="28">
        <v>2495</v>
      </c>
      <c r="D31" s="31">
        <f>B31*C31</f>
        <v>7485</v>
      </c>
      <c r="E31" s="31">
        <f>D31*12</f>
        <v>89820</v>
      </c>
      <c r="F31" s="26" t="s">
        <v>38</v>
      </c>
    </row>
    <row r="32" spans="1:6" x14ac:dyDescent="0.25">
      <c r="A32" s="42" t="s">
        <v>303</v>
      </c>
      <c r="B32" s="43">
        <f>SUM(B30:B31)</f>
        <v>10</v>
      </c>
      <c r="C32" s="44">
        <f>IFERROR(D32/B32,"")</f>
        <v>2083.4</v>
      </c>
      <c r="D32" s="44">
        <f>SUM(D30:D31)</f>
        <v>20834</v>
      </c>
      <c r="E32" s="44">
        <f>SUM(E30:E31)</f>
        <v>250008</v>
      </c>
    </row>
    <row r="34" spans="1:6" x14ac:dyDescent="0.25">
      <c r="A34" s="34" t="s">
        <v>304</v>
      </c>
      <c r="B34" s="35"/>
      <c r="C34" s="35"/>
      <c r="D34" s="35"/>
      <c r="E34" s="35"/>
      <c r="F34" s="35"/>
    </row>
    <row r="35" spans="1:6" x14ac:dyDescent="0.25">
      <c r="A35" s="45"/>
      <c r="B35" s="45" t="s">
        <v>305</v>
      </c>
      <c r="C35" s="45" t="s">
        <v>306</v>
      </c>
      <c r="D35" s="45"/>
      <c r="E35" s="45"/>
      <c r="F35" s="45" t="s">
        <v>307</v>
      </c>
    </row>
    <row r="36" spans="1:6" x14ac:dyDescent="0.25">
      <c r="A36" t="s">
        <v>308</v>
      </c>
      <c r="B36" s="31">
        <v>231566.11822059721</v>
      </c>
      <c r="C36" s="31">
        <f>E32</f>
        <v>250008</v>
      </c>
      <c r="F36" s="26" t="s">
        <v>309</v>
      </c>
    </row>
    <row r="37" spans="1:6" x14ac:dyDescent="0.25">
      <c r="A37" t="s">
        <v>310</v>
      </c>
      <c r="B37" s="31">
        <v>0</v>
      </c>
      <c r="C37" s="28">
        <v>0</v>
      </c>
    </row>
    <row r="38" spans="1:6" x14ac:dyDescent="0.25">
      <c r="A38" s="42" t="s">
        <v>311</v>
      </c>
      <c r="B38" s="31">
        <f>B36+B37</f>
        <v>231566.11822059721</v>
      </c>
      <c r="C38" s="31">
        <f>C36+C37</f>
        <v>250008</v>
      </c>
    </row>
    <row r="39" spans="1:6" x14ac:dyDescent="0.25">
      <c r="A39" t="s">
        <v>312</v>
      </c>
      <c r="B39" s="31">
        <f>-B36*0.03</f>
        <v>-6946.9835466179165</v>
      </c>
      <c r="C39" s="31">
        <f>-C36*Assumptions!$B$3</f>
        <v>-7500.24</v>
      </c>
      <c r="F39" s="26" t="s">
        <v>313</v>
      </c>
    </row>
    <row r="40" spans="1:6" x14ac:dyDescent="0.25">
      <c r="A40" s="42" t="s">
        <v>314</v>
      </c>
      <c r="B40" s="44">
        <f>B38+B39</f>
        <v>224619.13467397931</v>
      </c>
      <c r="C40" s="44">
        <f>C38+C39</f>
        <v>242507.76</v>
      </c>
    </row>
    <row r="42" spans="1:6" x14ac:dyDescent="0.25">
      <c r="A42" s="34" t="s">
        <v>315</v>
      </c>
      <c r="B42" s="35"/>
      <c r="C42" s="35"/>
      <c r="D42" s="35"/>
      <c r="E42" s="35"/>
      <c r="F42" s="35"/>
    </row>
    <row r="43" spans="1:6" x14ac:dyDescent="0.25">
      <c r="A43" s="45" t="s">
        <v>316</v>
      </c>
      <c r="B43" s="45" t="s">
        <v>305</v>
      </c>
      <c r="C43" s="45" t="s">
        <v>317</v>
      </c>
      <c r="D43" s="45" t="s">
        <v>306</v>
      </c>
      <c r="E43" s="45" t="s">
        <v>318</v>
      </c>
      <c r="F43" s="45" t="s">
        <v>307</v>
      </c>
    </row>
    <row r="44" spans="1:6" x14ac:dyDescent="0.25">
      <c r="A44" t="s">
        <v>319</v>
      </c>
      <c r="B44" s="31"/>
      <c r="C44" s="31">
        <f>B22*Assumptions!$B$16</f>
        <v>43700</v>
      </c>
      <c r="D44" s="46">
        <f>C44</f>
        <v>43700</v>
      </c>
      <c r="E44" s="31" t="str">
        <f t="shared" ref="E44:E52" si="0">IF(ISNUMBER(B44),D44-B44,"")</f>
        <v/>
      </c>
      <c r="F44" s="26" t="s">
        <v>320</v>
      </c>
    </row>
    <row r="45" spans="1:6" x14ac:dyDescent="0.25">
      <c r="A45" t="s">
        <v>321</v>
      </c>
      <c r="B45" s="31"/>
      <c r="C45" s="31">
        <f>B7*Assumptions!$B$5+B8*Assumptions!$B$6</f>
        <v>9068</v>
      </c>
      <c r="D45" s="46">
        <f t="shared" ref="D45:D51" si="1">IF(ISNUMBER(B45),MAX(B45,C45),C45)</f>
        <v>9068</v>
      </c>
      <c r="E45" s="31" t="str">
        <f t="shared" si="0"/>
        <v/>
      </c>
      <c r="F45" s="26" t="s">
        <v>322</v>
      </c>
    </row>
    <row r="46" spans="1:6" x14ac:dyDescent="0.25">
      <c r="A46" t="s">
        <v>323</v>
      </c>
      <c r="B46" s="31"/>
      <c r="C46" s="31">
        <f>C40*Assumptions!$B$4</f>
        <v>12125.388000000001</v>
      </c>
      <c r="D46" s="46">
        <f t="shared" si="1"/>
        <v>12125.388000000001</v>
      </c>
      <c r="E46" s="31" t="str">
        <f t="shared" si="0"/>
        <v/>
      </c>
      <c r="F46" s="26" t="s">
        <v>324</v>
      </c>
    </row>
    <row r="47" spans="1:6" x14ac:dyDescent="0.25">
      <c r="A47" t="s">
        <v>325</v>
      </c>
      <c r="B47" s="31"/>
      <c r="C47" s="31">
        <f>B7*Assumptions!$B$7</f>
        <v>12000</v>
      </c>
      <c r="D47" s="46">
        <f t="shared" si="1"/>
        <v>12000</v>
      </c>
      <c r="E47" s="31" t="str">
        <f t="shared" si="0"/>
        <v/>
      </c>
      <c r="F47" s="26" t="s">
        <v>326</v>
      </c>
    </row>
    <row r="48" spans="1:6" x14ac:dyDescent="0.25">
      <c r="A48" t="s">
        <v>327</v>
      </c>
      <c r="B48" s="31"/>
      <c r="C48" s="31">
        <f>B7*Assumptions!$B$10</f>
        <v>18000</v>
      </c>
      <c r="D48" s="46">
        <f t="shared" si="1"/>
        <v>18000</v>
      </c>
      <c r="E48" s="31" t="str">
        <f t="shared" si="0"/>
        <v/>
      </c>
      <c r="F48" s="26" t="s">
        <v>328</v>
      </c>
    </row>
    <row r="49" spans="1:6" x14ac:dyDescent="0.25">
      <c r="A49" t="s">
        <v>329</v>
      </c>
      <c r="B49" s="31"/>
      <c r="C49" s="31">
        <f>B7*Assumptions!$B$12</f>
        <v>4000</v>
      </c>
      <c r="D49" s="46">
        <f t="shared" si="1"/>
        <v>4000</v>
      </c>
      <c r="E49" s="31" t="str">
        <f t="shared" si="0"/>
        <v/>
      </c>
      <c r="F49" s="26" t="s">
        <v>330</v>
      </c>
    </row>
    <row r="50" spans="1:6" x14ac:dyDescent="0.25">
      <c r="A50" t="s">
        <v>331</v>
      </c>
      <c r="B50" s="31"/>
      <c r="C50" s="31">
        <f>B7*Assumptions!$B$13</f>
        <v>2500</v>
      </c>
      <c r="D50" s="46">
        <f t="shared" si="1"/>
        <v>2500</v>
      </c>
      <c r="E50" s="31" t="str">
        <f t="shared" si="0"/>
        <v/>
      </c>
      <c r="F50" s="26" t="s">
        <v>332</v>
      </c>
    </row>
    <row r="51" spans="1:6" x14ac:dyDescent="0.25">
      <c r="A51" t="s">
        <v>333</v>
      </c>
      <c r="B51" s="31"/>
      <c r="C51" s="31">
        <f>B7*Assumptions!$B$14</f>
        <v>3000</v>
      </c>
      <c r="D51" s="46">
        <f t="shared" si="1"/>
        <v>3000</v>
      </c>
      <c r="E51" s="31" t="str">
        <f t="shared" si="0"/>
        <v/>
      </c>
      <c r="F51" s="26" t="s">
        <v>330</v>
      </c>
    </row>
    <row r="52" spans="1:6" x14ac:dyDescent="0.25">
      <c r="A52" s="42" t="s">
        <v>334</v>
      </c>
      <c r="B52" s="44">
        <f>B40-B22*B25</f>
        <v>57799.134673979366</v>
      </c>
      <c r="C52" s="44">
        <f>SUM(C44:C51)</f>
        <v>104393.38800000001</v>
      </c>
      <c r="D52" s="44">
        <f>SUM(D44:D51)</f>
        <v>104393.38800000001</v>
      </c>
      <c r="E52" s="44">
        <f t="shared" si="0"/>
        <v>46594.25332602064</v>
      </c>
      <c r="F52" s="26" t="s">
        <v>335</v>
      </c>
    </row>
    <row r="53" spans="1:6" x14ac:dyDescent="0.25">
      <c r="A53" t="s">
        <v>336</v>
      </c>
      <c r="B53" s="31">
        <f>IFERROR(B52/B7,"")</f>
        <v>5779.913467397937</v>
      </c>
      <c r="C53" s="31">
        <f>IFERROR(C52/B7,"")</f>
        <v>10439.338800000001</v>
      </c>
      <c r="D53" s="31">
        <f>IFERROR(D52/B7,"")</f>
        <v>10439.338800000001</v>
      </c>
    </row>
    <row r="54" spans="1:6" x14ac:dyDescent="0.25">
      <c r="A54" t="s">
        <v>337</v>
      </c>
      <c r="B54" s="39">
        <f>IFERROR(B52/B40,"")</f>
        <v>0.25732061855670135</v>
      </c>
      <c r="C54" s="39">
        <f>IFERROR(C52/C40,"")</f>
        <v>0.43047442275661613</v>
      </c>
      <c r="D54" s="39">
        <f>IF(C36&gt;0,IFERROR(D52/C40,""),"")</f>
        <v>0.43047442275661613</v>
      </c>
    </row>
    <row r="55" spans="1:6" x14ac:dyDescent="0.25">
      <c r="A55" s="42" t="s">
        <v>18</v>
      </c>
      <c r="B55" s="47" t="str">
        <f>IF(ISNUMBER(B52),IF(D52&gt;B52*(1+Assumptions!$B$24),"OM EXPENSES LIGHT","OM expenses reasonable"),"OM expenses not published")</f>
        <v>OM EXPENSES LIGHT</v>
      </c>
    </row>
    <row r="57" spans="1:6" x14ac:dyDescent="0.25">
      <c r="A57" s="34" t="s">
        <v>338</v>
      </c>
      <c r="B57" s="35"/>
      <c r="C57" s="35"/>
      <c r="D57" s="35"/>
      <c r="E57" s="35"/>
      <c r="F57" s="35"/>
    </row>
    <row r="58" spans="1:6" x14ac:dyDescent="0.25">
      <c r="A58" s="45"/>
      <c r="B58" s="45" t="s">
        <v>305</v>
      </c>
      <c r="C58" s="45" t="s">
        <v>306</v>
      </c>
      <c r="D58" s="45"/>
      <c r="E58" s="45"/>
      <c r="F58" s="45" t="s">
        <v>307</v>
      </c>
    </row>
    <row r="59" spans="1:6" x14ac:dyDescent="0.25">
      <c r="A59" s="42" t="s">
        <v>339</v>
      </c>
      <c r="B59" s="44">
        <f>B40-B52</f>
        <v>166819.99999999994</v>
      </c>
      <c r="C59" s="44">
        <f>IF(C36&gt;0,C40-D52,"")</f>
        <v>138114.372</v>
      </c>
    </row>
    <row r="60" spans="1:6" x14ac:dyDescent="0.25">
      <c r="A60" s="42" t="s">
        <v>340</v>
      </c>
      <c r="B60" s="39">
        <f>IFERROR(B59/B22,"")</f>
        <v>4.3899999999999988E-2</v>
      </c>
      <c r="C60" s="39">
        <f>IF(C59="","",IFERROR(C59/B22,""))</f>
        <v>3.6345887368421051E-2</v>
      </c>
      <c r="F60" s="26" t="s">
        <v>341</v>
      </c>
    </row>
    <row r="61" spans="1:6" x14ac:dyDescent="0.25">
      <c r="A61" t="s">
        <v>342</v>
      </c>
      <c r="B61" s="40">
        <f>IFERROR(B22/B36,"")</f>
        <v>16.41</v>
      </c>
      <c r="C61" s="40">
        <f>IF(C36&gt;0,IFERROR(B22/C36,""),"")</f>
        <v>15.199513615564301</v>
      </c>
    </row>
    <row r="62" spans="1:6" x14ac:dyDescent="0.25">
      <c r="A62" t="s">
        <v>343</v>
      </c>
      <c r="B62" s="31">
        <f>IFERROR(B59/B7,"")</f>
        <v>16681.999999999993</v>
      </c>
      <c r="C62" s="31">
        <f>IF(C59="","",IFERROR(C59/B7,""))</f>
        <v>13811.4372</v>
      </c>
    </row>
    <row r="64" spans="1:6" x14ac:dyDescent="0.25">
      <c r="A64" s="34" t="s">
        <v>344</v>
      </c>
      <c r="B64" s="35"/>
      <c r="C64" s="35"/>
      <c r="D64" s="35"/>
      <c r="E64" s="35"/>
      <c r="F64" s="35"/>
    </row>
    <row r="65" spans="1:2" x14ac:dyDescent="0.25">
      <c r="A65" t="s">
        <v>345</v>
      </c>
      <c r="B65" s="31">
        <f>IFERROR(B22*Assumptions!$B$20,"")</f>
        <v>2280000</v>
      </c>
    </row>
    <row r="66" spans="1:2" x14ac:dyDescent="0.25">
      <c r="A66" t="s">
        <v>346</v>
      </c>
      <c r="B66" s="31">
        <f>IF(C59="","",IFERROR(PV(Assumptions!$B$22/12,Assumptions!$B$23*12,-C59/Assumptions!$B$21/12),""))</f>
        <v>1495430.8233753385</v>
      </c>
    </row>
    <row r="67" spans="1:2" x14ac:dyDescent="0.25">
      <c r="A67" s="42" t="s">
        <v>347</v>
      </c>
      <c r="B67" s="31">
        <f>IFERROR(MIN(B65,B66),"")</f>
        <v>1495430.8233753385</v>
      </c>
    </row>
    <row r="68" spans="1:2" x14ac:dyDescent="0.25">
      <c r="A68" t="s">
        <v>348</v>
      </c>
      <c r="B68" s="31">
        <f>IFERROR(B22-B67,"")</f>
        <v>2304569.1766246613</v>
      </c>
    </row>
    <row r="69" spans="1:2" x14ac:dyDescent="0.25">
      <c r="A69" t="s">
        <v>349</v>
      </c>
      <c r="B69" s="31">
        <f>IFERROR(-PMT(Assumptions!$B$22/12,Assumptions!$B$23*12,B67)*12,"")</f>
        <v>110491.49759999965</v>
      </c>
    </row>
    <row r="70" spans="1:2" x14ac:dyDescent="0.25">
      <c r="A70" t="s">
        <v>350</v>
      </c>
      <c r="B70" s="40">
        <f>IFERROR(C59/B69,"")</f>
        <v>1.250000000000004</v>
      </c>
    </row>
    <row r="71" spans="1:2" x14ac:dyDescent="0.25">
      <c r="A71" t="s">
        <v>351</v>
      </c>
      <c r="B71" s="31">
        <f>IFERROR(C59-B69,"")</f>
        <v>27622.87440000035</v>
      </c>
    </row>
    <row r="72" spans="1:2" x14ac:dyDescent="0.25">
      <c r="A72" t="s">
        <v>352</v>
      </c>
      <c r="B72" s="39">
        <f>IFERROR(B71/B68,"")</f>
        <v>1.1986133755575787E-2</v>
      </c>
    </row>
    <row r="74" spans="1:2" x14ac:dyDescent="0.25">
      <c r="A74" s="26" t="s">
        <v>353</v>
      </c>
    </row>
  </sheetData>
  <hyperlinks>
    <hyperlink ref="A3" r:id="rId1" xr:uid="{00000000-0004-0000-1C00-000000000000}"/>
  </hyperlinks>
  <pageMargins left="0.75" right="0.75" top="1" bottom="1" header="0.5" footer="0.5"/>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F75"/>
  <sheetViews>
    <sheetView showGridLines="0" workbookViewId="0">
      <pane ySplit="5" topLeftCell="A6" activePane="bottomLeft" state="frozen"/>
      <selection pane="bottomLeft"/>
    </sheetView>
  </sheetViews>
  <sheetFormatPr defaultRowHeight="15" x14ac:dyDescent="0.25"/>
  <cols>
    <col min="1" max="1" width="38" customWidth="1"/>
    <col min="2" max="5" width="16" customWidth="1"/>
    <col min="6" max="6" width="48" customWidth="1"/>
    <col min="7" max="7" width="12" customWidth="1"/>
  </cols>
  <sheetData>
    <row r="1" spans="1:3" ht="19.5" x14ac:dyDescent="0.3">
      <c r="A1" s="1" t="s">
        <v>167</v>
      </c>
    </row>
    <row r="2" spans="1:3" x14ac:dyDescent="0.25">
      <c r="A2" s="32" t="s">
        <v>425</v>
      </c>
    </row>
    <row r="3" spans="1:3" x14ac:dyDescent="0.25">
      <c r="A3" s="33" t="s">
        <v>271</v>
      </c>
      <c r="B3" s="26" t="s">
        <v>272</v>
      </c>
    </row>
    <row r="6" spans="1:3" x14ac:dyDescent="0.25">
      <c r="A6" s="34" t="s">
        <v>273</v>
      </c>
      <c r="B6" s="35"/>
      <c r="C6" s="35"/>
    </row>
    <row r="7" spans="1:3" x14ac:dyDescent="0.25">
      <c r="A7" t="s">
        <v>7</v>
      </c>
      <c r="B7" s="36">
        <v>11</v>
      </c>
    </row>
    <row r="8" spans="1:3" x14ac:dyDescent="0.25">
      <c r="A8" t="s">
        <v>274</v>
      </c>
      <c r="B8" s="36">
        <v>8398</v>
      </c>
    </row>
    <row r="9" spans="1:3" x14ac:dyDescent="0.25">
      <c r="A9" t="s">
        <v>10</v>
      </c>
      <c r="B9" s="36">
        <v>7405</v>
      </c>
    </row>
    <row r="10" spans="1:3" x14ac:dyDescent="0.25">
      <c r="A10" t="s">
        <v>275</v>
      </c>
      <c r="B10" s="37">
        <v>0.17</v>
      </c>
    </row>
    <row r="11" spans="1:3" x14ac:dyDescent="0.25">
      <c r="A11" t="s">
        <v>8</v>
      </c>
      <c r="B11">
        <v>1958</v>
      </c>
    </row>
    <row r="12" spans="1:3" x14ac:dyDescent="0.25">
      <c r="A12" t="s">
        <v>276</v>
      </c>
      <c r="B12" t="s">
        <v>355</v>
      </c>
    </row>
    <row r="13" spans="1:3" x14ac:dyDescent="0.25">
      <c r="A13" t="s">
        <v>278</v>
      </c>
      <c r="B13" t="s">
        <v>452</v>
      </c>
    </row>
    <row r="14" spans="1:3" x14ac:dyDescent="0.25">
      <c r="A14" t="s">
        <v>280</v>
      </c>
      <c r="B14" t="s">
        <v>168</v>
      </c>
    </row>
    <row r="15" spans="1:3" x14ac:dyDescent="0.25">
      <c r="A15" t="s">
        <v>281</v>
      </c>
      <c r="B15" t="s">
        <v>453</v>
      </c>
    </row>
    <row r="16" spans="1:3" x14ac:dyDescent="0.25">
      <c r="A16" t="s">
        <v>283</v>
      </c>
      <c r="B16" s="31">
        <v>2574851</v>
      </c>
    </row>
    <row r="17" spans="1:6" x14ac:dyDescent="0.25">
      <c r="A17" t="s">
        <v>284</v>
      </c>
      <c r="B17" t="s">
        <v>169</v>
      </c>
    </row>
    <row r="18" spans="1:6" x14ac:dyDescent="0.25">
      <c r="A18" t="s">
        <v>285</v>
      </c>
      <c r="B18" t="s">
        <v>170</v>
      </c>
    </row>
    <row r="19" spans="1:6" x14ac:dyDescent="0.25">
      <c r="A19" t="s">
        <v>286</v>
      </c>
      <c r="B19" t="s">
        <v>65</v>
      </c>
    </row>
    <row r="21" spans="1:6" x14ac:dyDescent="0.25">
      <c r="A21" s="34" t="s">
        <v>287</v>
      </c>
      <c r="B21" s="35"/>
      <c r="C21" s="35"/>
    </row>
    <row r="22" spans="1:6" x14ac:dyDescent="0.25">
      <c r="A22" t="s">
        <v>11</v>
      </c>
      <c r="B22" s="28">
        <v>3850000</v>
      </c>
    </row>
    <row r="23" spans="1:6" x14ac:dyDescent="0.25">
      <c r="A23" t="s">
        <v>288</v>
      </c>
      <c r="B23" s="31">
        <f>IFERROR(B22/B7,"")</f>
        <v>350000</v>
      </c>
    </row>
    <row r="24" spans="1:6" x14ac:dyDescent="0.25">
      <c r="A24" t="s">
        <v>289</v>
      </c>
      <c r="B24" s="38">
        <f>IFERROR(B22/B8,"")</f>
        <v>458.44248630626339</v>
      </c>
    </row>
    <row r="25" spans="1:6" x14ac:dyDescent="0.25">
      <c r="A25" t="s">
        <v>290</v>
      </c>
      <c r="B25" s="39">
        <v>4.3400000000000001E-2</v>
      </c>
    </row>
    <row r="26" spans="1:6" x14ac:dyDescent="0.25">
      <c r="A26" t="s">
        <v>291</v>
      </c>
      <c r="B26" s="40">
        <v>14.29</v>
      </c>
    </row>
    <row r="28" spans="1:6" x14ac:dyDescent="0.25">
      <c r="A28" s="34" t="s">
        <v>292</v>
      </c>
      <c r="B28" s="35"/>
      <c r="C28" s="35"/>
      <c r="D28" s="35"/>
      <c r="E28" s="35"/>
      <c r="F28" s="35"/>
    </row>
    <row r="29" spans="1:6" x14ac:dyDescent="0.25">
      <c r="A29" s="41" t="s">
        <v>293</v>
      </c>
      <c r="B29" s="41" t="s">
        <v>294</v>
      </c>
      <c r="C29" s="41" t="s">
        <v>295</v>
      </c>
      <c r="D29" s="41" t="s">
        <v>296</v>
      </c>
      <c r="E29" s="41" t="s">
        <v>297</v>
      </c>
      <c r="F29" s="41" t="s">
        <v>298</v>
      </c>
    </row>
    <row r="30" spans="1:6" x14ac:dyDescent="0.25">
      <c r="A30" t="s">
        <v>257</v>
      </c>
      <c r="B30" s="36">
        <v>2</v>
      </c>
      <c r="C30" s="48">
        <v>1373</v>
      </c>
      <c r="D30" s="31">
        <f>B30*C30</f>
        <v>2746</v>
      </c>
      <c r="E30" s="31">
        <f>D30*12</f>
        <v>32952</v>
      </c>
      <c r="F30" s="26" t="s">
        <v>45</v>
      </c>
    </row>
    <row r="31" spans="1:6" x14ac:dyDescent="0.25">
      <c r="A31" t="s">
        <v>302</v>
      </c>
      <c r="B31" s="36">
        <v>6</v>
      </c>
      <c r="C31" s="48">
        <v>1961</v>
      </c>
      <c r="D31" s="31">
        <f>B31*C31</f>
        <v>11766</v>
      </c>
      <c r="E31" s="31">
        <f>D31*12</f>
        <v>141192</v>
      </c>
      <c r="F31" s="26" t="s">
        <v>45</v>
      </c>
    </row>
    <row r="32" spans="1:6" x14ac:dyDescent="0.25">
      <c r="A32" t="s">
        <v>301</v>
      </c>
      <c r="B32" s="36">
        <v>3</v>
      </c>
      <c r="C32" s="48">
        <v>2647</v>
      </c>
      <c r="D32" s="31">
        <f>B32*C32</f>
        <v>7941</v>
      </c>
      <c r="E32" s="31">
        <f>D32*12</f>
        <v>95292</v>
      </c>
      <c r="F32" s="26" t="s">
        <v>45</v>
      </c>
    </row>
    <row r="33" spans="1:6" x14ac:dyDescent="0.25">
      <c r="A33" s="42" t="s">
        <v>303</v>
      </c>
      <c r="B33" s="43">
        <f>SUM(B30:B32)</f>
        <v>11</v>
      </c>
      <c r="C33" s="44">
        <f>IFERROR(D33/B33,"")</f>
        <v>2041.1818181818182</v>
      </c>
      <c r="D33" s="44">
        <f>SUM(D30:D32)</f>
        <v>22453</v>
      </c>
      <c r="E33" s="44">
        <f>SUM(E30:E32)</f>
        <v>269436</v>
      </c>
    </row>
    <row r="35" spans="1:6" x14ac:dyDescent="0.25">
      <c r="A35" s="34" t="s">
        <v>304</v>
      </c>
      <c r="B35" s="35"/>
      <c r="C35" s="35"/>
      <c r="D35" s="35"/>
      <c r="E35" s="35"/>
      <c r="F35" s="35"/>
    </row>
    <row r="36" spans="1:6" x14ac:dyDescent="0.25">
      <c r="A36" s="45"/>
      <c r="B36" s="45" t="s">
        <v>305</v>
      </c>
      <c r="C36" s="45" t="s">
        <v>306</v>
      </c>
      <c r="D36" s="45"/>
      <c r="E36" s="45"/>
      <c r="F36" s="45" t="s">
        <v>307</v>
      </c>
    </row>
    <row r="37" spans="1:6" x14ac:dyDescent="0.25">
      <c r="A37" t="s">
        <v>308</v>
      </c>
      <c r="B37" s="31">
        <v>269419.17424772569</v>
      </c>
      <c r="C37" s="31">
        <f>E33</f>
        <v>269436</v>
      </c>
      <c r="F37" s="26" t="s">
        <v>309</v>
      </c>
    </row>
    <row r="38" spans="1:6" x14ac:dyDescent="0.25">
      <c r="A38" t="s">
        <v>310</v>
      </c>
      <c r="B38" s="31">
        <v>0</v>
      </c>
      <c r="C38" s="28">
        <v>0</v>
      </c>
    </row>
    <row r="39" spans="1:6" x14ac:dyDescent="0.25">
      <c r="A39" s="42" t="s">
        <v>311</v>
      </c>
      <c r="B39" s="31">
        <f>B37+B38</f>
        <v>269419.17424772569</v>
      </c>
      <c r="C39" s="31">
        <f>C37+C38</f>
        <v>269436</v>
      </c>
    </row>
    <row r="40" spans="1:6" x14ac:dyDescent="0.25">
      <c r="A40" t="s">
        <v>312</v>
      </c>
      <c r="B40" s="31">
        <f>-B37*0.03</f>
        <v>-8082.5752274317701</v>
      </c>
      <c r="C40" s="31">
        <f>-C37*Assumptions!$B$3</f>
        <v>-8083.08</v>
      </c>
      <c r="F40" s="26" t="s">
        <v>313</v>
      </c>
    </row>
    <row r="41" spans="1:6" x14ac:dyDescent="0.25">
      <c r="A41" s="42" t="s">
        <v>314</v>
      </c>
      <c r="B41" s="44">
        <f>B39+B40</f>
        <v>261336.59902029391</v>
      </c>
      <c r="C41" s="44">
        <f>C39+C40</f>
        <v>261352.92</v>
      </c>
    </row>
    <row r="43" spans="1:6" x14ac:dyDescent="0.25">
      <c r="A43" s="34" t="s">
        <v>315</v>
      </c>
      <c r="B43" s="35"/>
      <c r="C43" s="35"/>
      <c r="D43" s="35"/>
      <c r="E43" s="35"/>
      <c r="F43" s="35"/>
    </row>
    <row r="44" spans="1:6" x14ac:dyDescent="0.25">
      <c r="A44" s="45" t="s">
        <v>316</v>
      </c>
      <c r="B44" s="45" t="s">
        <v>305</v>
      </c>
      <c r="C44" s="45" t="s">
        <v>317</v>
      </c>
      <c r="D44" s="45" t="s">
        <v>306</v>
      </c>
      <c r="E44" s="45" t="s">
        <v>318</v>
      </c>
      <c r="F44" s="45" t="s">
        <v>307</v>
      </c>
    </row>
    <row r="45" spans="1:6" x14ac:dyDescent="0.25">
      <c r="A45" t="s">
        <v>319</v>
      </c>
      <c r="B45" s="31"/>
      <c r="C45" s="31">
        <f>B22*Assumptions!$B$16</f>
        <v>44275</v>
      </c>
      <c r="D45" s="46">
        <f>C45</f>
        <v>44275</v>
      </c>
      <c r="E45" s="31" t="str">
        <f t="shared" ref="E45:E53" si="0">IF(ISNUMBER(B45),D45-B45,"")</f>
        <v/>
      </c>
      <c r="F45" s="26" t="s">
        <v>320</v>
      </c>
    </row>
    <row r="46" spans="1:6" x14ac:dyDescent="0.25">
      <c r="A46" t="s">
        <v>321</v>
      </c>
      <c r="B46" s="31"/>
      <c r="C46" s="31">
        <f>B7*Assumptions!$B$5+B8*Assumptions!$B$6</f>
        <v>10598</v>
      </c>
      <c r="D46" s="46">
        <f t="shared" ref="D46:D52" si="1">IF(ISNUMBER(B46),MAX(B46,C46),C46)</f>
        <v>10598</v>
      </c>
      <c r="E46" s="31" t="str">
        <f t="shared" si="0"/>
        <v/>
      </c>
      <c r="F46" s="26" t="s">
        <v>322</v>
      </c>
    </row>
    <row r="47" spans="1:6" x14ac:dyDescent="0.25">
      <c r="A47" t="s">
        <v>323</v>
      </c>
      <c r="B47" s="31"/>
      <c r="C47" s="31">
        <f>C41*Assumptions!$B$4</f>
        <v>13067.646000000001</v>
      </c>
      <c r="D47" s="46">
        <f t="shared" si="1"/>
        <v>13067.646000000001</v>
      </c>
      <c r="E47" s="31" t="str">
        <f t="shared" si="0"/>
        <v/>
      </c>
      <c r="F47" s="26" t="s">
        <v>324</v>
      </c>
    </row>
    <row r="48" spans="1:6" x14ac:dyDescent="0.25">
      <c r="A48" t="s">
        <v>325</v>
      </c>
      <c r="B48" s="31"/>
      <c r="C48" s="31">
        <f>B7*Assumptions!$B$7</f>
        <v>13200</v>
      </c>
      <c r="D48" s="46">
        <f t="shared" si="1"/>
        <v>13200</v>
      </c>
      <c r="E48" s="31" t="str">
        <f t="shared" si="0"/>
        <v/>
      </c>
      <c r="F48" s="26" t="s">
        <v>326</v>
      </c>
    </row>
    <row r="49" spans="1:6" x14ac:dyDescent="0.25">
      <c r="A49" t="s">
        <v>327</v>
      </c>
      <c r="B49" s="31"/>
      <c r="C49" s="31">
        <f>B7*Assumptions!$B$10</f>
        <v>19800</v>
      </c>
      <c r="D49" s="46">
        <f t="shared" si="1"/>
        <v>19800</v>
      </c>
      <c r="E49" s="31" t="str">
        <f t="shared" si="0"/>
        <v/>
      </c>
      <c r="F49" s="26" t="s">
        <v>328</v>
      </c>
    </row>
    <row r="50" spans="1:6" x14ac:dyDescent="0.25">
      <c r="A50" t="s">
        <v>329</v>
      </c>
      <c r="B50" s="31"/>
      <c r="C50" s="31">
        <f>B7*Assumptions!$B$12</f>
        <v>4400</v>
      </c>
      <c r="D50" s="46">
        <f t="shared" si="1"/>
        <v>4400</v>
      </c>
      <c r="E50" s="31" t="str">
        <f t="shared" si="0"/>
        <v/>
      </c>
      <c r="F50" s="26" t="s">
        <v>330</v>
      </c>
    </row>
    <row r="51" spans="1:6" x14ac:dyDescent="0.25">
      <c r="A51" t="s">
        <v>331</v>
      </c>
      <c r="B51" s="31"/>
      <c r="C51" s="31">
        <f>B7*Assumptions!$B$13</f>
        <v>2750</v>
      </c>
      <c r="D51" s="46">
        <f t="shared" si="1"/>
        <v>2750</v>
      </c>
      <c r="E51" s="31" t="str">
        <f t="shared" si="0"/>
        <v/>
      </c>
      <c r="F51" s="26" t="s">
        <v>332</v>
      </c>
    </row>
    <row r="52" spans="1:6" x14ac:dyDescent="0.25">
      <c r="A52" t="s">
        <v>333</v>
      </c>
      <c r="B52" s="31"/>
      <c r="C52" s="31">
        <f>B7*Assumptions!$B$14</f>
        <v>3300</v>
      </c>
      <c r="D52" s="46">
        <f t="shared" si="1"/>
        <v>3300</v>
      </c>
      <c r="E52" s="31" t="str">
        <f t="shared" si="0"/>
        <v/>
      </c>
      <c r="F52" s="26" t="s">
        <v>330</v>
      </c>
    </row>
    <row r="53" spans="1:6" x14ac:dyDescent="0.25">
      <c r="A53" s="42" t="s">
        <v>334</v>
      </c>
      <c r="B53" s="44">
        <f>B41-B22*B25</f>
        <v>94246.599020293914</v>
      </c>
      <c r="C53" s="44">
        <f>SUM(C45:C52)</f>
        <v>111390.64600000001</v>
      </c>
      <c r="D53" s="44">
        <f>SUM(D45:D52)</f>
        <v>111390.64600000001</v>
      </c>
      <c r="E53" s="44">
        <f t="shared" si="0"/>
        <v>17144.046979706094</v>
      </c>
      <c r="F53" s="26" t="s">
        <v>335</v>
      </c>
    </row>
    <row r="54" spans="1:6" x14ac:dyDescent="0.25">
      <c r="A54" t="s">
        <v>336</v>
      </c>
      <c r="B54" s="31">
        <f>IFERROR(B53/B7,"")</f>
        <v>8567.872638208537</v>
      </c>
      <c r="C54" s="31">
        <f>IFERROR(C53/B7,"")</f>
        <v>10126.422363636364</v>
      </c>
      <c r="D54" s="31">
        <f>IFERROR(D53/B7,"")</f>
        <v>10126.422363636364</v>
      </c>
    </row>
    <row r="55" spans="1:6" x14ac:dyDescent="0.25">
      <c r="A55" t="s">
        <v>337</v>
      </c>
      <c r="B55" s="39">
        <f>IFERROR(B53/B41,"")</f>
        <v>0.36063298969072166</v>
      </c>
      <c r="C55" s="39">
        <f>IFERROR(C53/C41,"")</f>
        <v>0.42620777299905432</v>
      </c>
      <c r="D55" s="39">
        <f>IF(C37&gt;0,IFERROR(D53/C41,""),"")</f>
        <v>0.42620777299905432</v>
      </c>
    </row>
    <row r="56" spans="1:6" x14ac:dyDescent="0.25">
      <c r="A56" s="42" t="s">
        <v>18</v>
      </c>
      <c r="B56" s="47" t="str">
        <f>IF(ISNUMBER(B53),IF(D53&gt;B53*(1+Assumptions!$B$24),"OM EXPENSES LIGHT","OM expenses reasonable"),"OM expenses not published")</f>
        <v>OM EXPENSES LIGHT</v>
      </c>
    </row>
    <row r="58" spans="1:6" x14ac:dyDescent="0.25">
      <c r="A58" s="34" t="s">
        <v>338</v>
      </c>
      <c r="B58" s="35"/>
      <c r="C58" s="35"/>
      <c r="D58" s="35"/>
      <c r="E58" s="35"/>
      <c r="F58" s="35"/>
    </row>
    <row r="59" spans="1:6" x14ac:dyDescent="0.25">
      <c r="A59" s="45"/>
      <c r="B59" s="45" t="s">
        <v>305</v>
      </c>
      <c r="C59" s="45" t="s">
        <v>306</v>
      </c>
      <c r="D59" s="45"/>
      <c r="E59" s="45"/>
      <c r="F59" s="45" t="s">
        <v>307</v>
      </c>
    </row>
    <row r="60" spans="1:6" x14ac:dyDescent="0.25">
      <c r="A60" s="42" t="s">
        <v>339</v>
      </c>
      <c r="B60" s="44">
        <f>B41-B53</f>
        <v>167090</v>
      </c>
      <c r="C60" s="44">
        <f>IF(C37&gt;0,C41-D53,"")</f>
        <v>149962.274</v>
      </c>
    </row>
    <row r="61" spans="1:6" x14ac:dyDescent="0.25">
      <c r="A61" s="42" t="s">
        <v>340</v>
      </c>
      <c r="B61" s="39">
        <f>IFERROR(B60/B22,"")</f>
        <v>4.3400000000000001E-2</v>
      </c>
      <c r="C61" s="39">
        <f>IF(C60="","",IFERROR(C60/B22,""))</f>
        <v>3.8951239999999998E-2</v>
      </c>
      <c r="F61" s="26" t="s">
        <v>341</v>
      </c>
    </row>
    <row r="62" spans="1:6" x14ac:dyDescent="0.25">
      <c r="A62" t="s">
        <v>342</v>
      </c>
      <c r="B62" s="40">
        <f>IFERROR(B22/B37,"")</f>
        <v>14.29</v>
      </c>
      <c r="C62" s="40">
        <f>IF(C37&gt;0,IFERROR(B22/C37,""),"")</f>
        <v>14.28910761739337</v>
      </c>
    </row>
    <row r="63" spans="1:6" x14ac:dyDescent="0.25">
      <c r="A63" t="s">
        <v>343</v>
      </c>
      <c r="B63" s="31">
        <f>IFERROR(B60/B7,"")</f>
        <v>15190</v>
      </c>
      <c r="C63" s="31">
        <f>IF(C60="","",IFERROR(C60/B7,""))</f>
        <v>13632.934000000001</v>
      </c>
    </row>
    <row r="65" spans="1:6" x14ac:dyDescent="0.25">
      <c r="A65" s="34" t="s">
        <v>344</v>
      </c>
      <c r="B65" s="35"/>
      <c r="C65" s="35"/>
      <c r="D65" s="35"/>
      <c r="E65" s="35"/>
      <c r="F65" s="35"/>
    </row>
    <row r="66" spans="1:6" x14ac:dyDescent="0.25">
      <c r="A66" t="s">
        <v>345</v>
      </c>
      <c r="B66" s="31">
        <f>IFERROR(B22*Assumptions!$B$20,"")</f>
        <v>2310000</v>
      </c>
    </row>
    <row r="67" spans="1:6" x14ac:dyDescent="0.25">
      <c r="A67" t="s">
        <v>346</v>
      </c>
      <c r="B67" s="31">
        <f>IF(C60="","",IFERROR(PV(Assumptions!$B$22/12,Assumptions!$B$23*12,-C60/Assumptions!$B$21/12),""))</f>
        <v>1623713.7644376222</v>
      </c>
    </row>
    <row r="68" spans="1:6" x14ac:dyDescent="0.25">
      <c r="A68" s="42" t="s">
        <v>347</v>
      </c>
      <c r="B68" s="31">
        <f>IFERROR(MIN(B66,B67),"")</f>
        <v>1623713.7644376222</v>
      </c>
    </row>
    <row r="69" spans="1:6" x14ac:dyDescent="0.25">
      <c r="A69" t="s">
        <v>348</v>
      </c>
      <c r="B69" s="31">
        <f>IFERROR(B22-B68,"")</f>
        <v>2226286.2355623776</v>
      </c>
    </row>
    <row r="70" spans="1:6" x14ac:dyDescent="0.25">
      <c r="A70" t="s">
        <v>349</v>
      </c>
      <c r="B70" s="31">
        <f>IFERROR(-PMT(Assumptions!$B$22/12,Assumptions!$B$23*12,B68)*12,"")</f>
        <v>119969.81919999961</v>
      </c>
    </row>
    <row r="71" spans="1:6" x14ac:dyDescent="0.25">
      <c r="A71" t="s">
        <v>350</v>
      </c>
      <c r="B71" s="40">
        <f>IFERROR(C60/B70,"")</f>
        <v>1.2500000000000042</v>
      </c>
    </row>
    <row r="72" spans="1:6" x14ac:dyDescent="0.25">
      <c r="A72" t="s">
        <v>351</v>
      </c>
      <c r="B72" s="31">
        <f>IFERROR(C60-B70,"")</f>
        <v>29992.4548000004</v>
      </c>
    </row>
    <row r="73" spans="1:6" x14ac:dyDescent="0.25">
      <c r="A73" t="s">
        <v>352</v>
      </c>
      <c r="B73" s="39">
        <f>IFERROR(B72/B69,"")</f>
        <v>1.3471967045793672E-2</v>
      </c>
    </row>
    <row r="75" spans="1:6" x14ac:dyDescent="0.25">
      <c r="A75" s="26" t="s">
        <v>353</v>
      </c>
    </row>
  </sheetData>
  <hyperlinks>
    <hyperlink ref="A3" r:id="rId1" xr:uid="{00000000-0004-0000-1D00-000000000000}"/>
  </hyperlinks>
  <pageMargins left="0.75" right="0.75" top="1" bottom="1" header="0.5" footer="0.5"/>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F74"/>
  <sheetViews>
    <sheetView showGridLines="0" workbookViewId="0">
      <pane ySplit="5" topLeftCell="A6" activePane="bottomLeft" state="frozen"/>
      <selection pane="bottomLeft"/>
    </sheetView>
  </sheetViews>
  <sheetFormatPr defaultRowHeight="15" x14ac:dyDescent="0.25"/>
  <cols>
    <col min="1" max="1" width="38" customWidth="1"/>
    <col min="2" max="5" width="16" customWidth="1"/>
    <col min="6" max="6" width="48" customWidth="1"/>
    <col min="7" max="7" width="12" customWidth="1"/>
  </cols>
  <sheetData>
    <row r="1" spans="1:3" ht="19.5" x14ac:dyDescent="0.3">
      <c r="A1" s="1" t="s">
        <v>171</v>
      </c>
    </row>
    <row r="2" spans="1:3" x14ac:dyDescent="0.25">
      <c r="A2" s="32" t="s">
        <v>370</v>
      </c>
    </row>
    <row r="3" spans="1:3" x14ac:dyDescent="0.25">
      <c r="A3" s="33" t="s">
        <v>271</v>
      </c>
      <c r="B3" s="26" t="s">
        <v>272</v>
      </c>
    </row>
    <row r="4" spans="1:3" x14ac:dyDescent="0.25">
      <c r="A4" s="47" t="s">
        <v>454</v>
      </c>
    </row>
    <row r="6" spans="1:3" x14ac:dyDescent="0.25">
      <c r="A6" s="34" t="s">
        <v>273</v>
      </c>
      <c r="B6" s="35"/>
      <c r="C6" s="35"/>
    </row>
    <row r="7" spans="1:3" x14ac:dyDescent="0.25">
      <c r="A7" t="s">
        <v>7</v>
      </c>
      <c r="B7" s="36">
        <v>16</v>
      </c>
    </row>
    <row r="8" spans="1:3" x14ac:dyDescent="0.25">
      <c r="A8" t="s">
        <v>274</v>
      </c>
      <c r="B8" s="36">
        <v>13210</v>
      </c>
    </row>
    <row r="9" spans="1:3" x14ac:dyDescent="0.25">
      <c r="A9" t="s">
        <v>10</v>
      </c>
      <c r="B9" s="36">
        <v>16117</v>
      </c>
    </row>
    <row r="10" spans="1:3" x14ac:dyDescent="0.25">
      <c r="A10" t="s">
        <v>275</v>
      </c>
      <c r="B10" s="37">
        <v>0.37</v>
      </c>
    </row>
    <row r="11" spans="1:3" x14ac:dyDescent="0.25">
      <c r="A11" t="s">
        <v>8</v>
      </c>
      <c r="B11">
        <v>1961</v>
      </c>
    </row>
    <row r="12" spans="1:3" x14ac:dyDescent="0.25">
      <c r="A12" t="s">
        <v>276</v>
      </c>
      <c r="B12" t="s">
        <v>355</v>
      </c>
    </row>
    <row r="13" spans="1:3" x14ac:dyDescent="0.25">
      <c r="A13" t="s">
        <v>278</v>
      </c>
      <c r="B13" t="s">
        <v>368</v>
      </c>
    </row>
    <row r="14" spans="1:3" x14ac:dyDescent="0.25">
      <c r="A14" t="s">
        <v>280</v>
      </c>
    </row>
    <row r="15" spans="1:3" x14ac:dyDescent="0.25">
      <c r="A15" t="s">
        <v>281</v>
      </c>
      <c r="B15" t="s">
        <v>455</v>
      </c>
    </row>
    <row r="16" spans="1:3" x14ac:dyDescent="0.25">
      <c r="A16" t="s">
        <v>283</v>
      </c>
      <c r="B16" s="31">
        <v>606403</v>
      </c>
    </row>
    <row r="17" spans="1:6" x14ac:dyDescent="0.25">
      <c r="A17" t="s">
        <v>284</v>
      </c>
      <c r="B17" t="s">
        <v>172</v>
      </c>
    </row>
    <row r="18" spans="1:6" x14ac:dyDescent="0.25">
      <c r="A18" t="s">
        <v>285</v>
      </c>
      <c r="B18" t="s">
        <v>161</v>
      </c>
    </row>
    <row r="19" spans="1:6" x14ac:dyDescent="0.25">
      <c r="A19" t="s">
        <v>286</v>
      </c>
      <c r="B19" t="s">
        <v>161</v>
      </c>
    </row>
    <row r="21" spans="1:6" x14ac:dyDescent="0.25">
      <c r="A21" s="34" t="s">
        <v>287</v>
      </c>
      <c r="B21" s="35"/>
      <c r="C21" s="35"/>
    </row>
    <row r="22" spans="1:6" x14ac:dyDescent="0.25">
      <c r="A22" t="s">
        <v>11</v>
      </c>
      <c r="B22" s="28">
        <v>4200000</v>
      </c>
    </row>
    <row r="23" spans="1:6" x14ac:dyDescent="0.25">
      <c r="A23" t="s">
        <v>288</v>
      </c>
      <c r="B23" s="31">
        <f>IFERROR(B22/B7,"")</f>
        <v>262500</v>
      </c>
    </row>
    <row r="24" spans="1:6" x14ac:dyDescent="0.25">
      <c r="A24" t="s">
        <v>289</v>
      </c>
      <c r="B24" s="38">
        <f>IFERROR(B22/B8,"")</f>
        <v>317.94095382286145</v>
      </c>
    </row>
    <row r="25" spans="1:6" x14ac:dyDescent="0.25">
      <c r="A25" t="s">
        <v>290</v>
      </c>
      <c r="B25" s="39">
        <v>4.2599999999999999E-2</v>
      </c>
    </row>
    <row r="26" spans="1:6" x14ac:dyDescent="0.25">
      <c r="A26" t="s">
        <v>291</v>
      </c>
      <c r="B26" s="40">
        <v>12.81</v>
      </c>
    </row>
    <row r="28" spans="1:6" x14ac:dyDescent="0.25">
      <c r="A28" s="34" t="s">
        <v>292</v>
      </c>
      <c r="B28" s="35"/>
      <c r="C28" s="35"/>
      <c r="D28" s="35"/>
      <c r="E28" s="35"/>
      <c r="F28" s="35"/>
    </row>
    <row r="29" spans="1:6" x14ac:dyDescent="0.25">
      <c r="A29" s="41" t="s">
        <v>293</v>
      </c>
      <c r="B29" s="41" t="s">
        <v>294</v>
      </c>
      <c r="C29" s="41" t="s">
        <v>295</v>
      </c>
      <c r="D29" s="41" t="s">
        <v>296</v>
      </c>
      <c r="E29" s="41" t="s">
        <v>297</v>
      </c>
      <c r="F29" s="41" t="s">
        <v>298</v>
      </c>
    </row>
    <row r="30" spans="1:6" x14ac:dyDescent="0.25">
      <c r="A30" t="s">
        <v>301</v>
      </c>
      <c r="B30" s="36">
        <v>6</v>
      </c>
      <c r="C30" s="28">
        <v>2127</v>
      </c>
      <c r="D30" s="31">
        <f>B30*C30</f>
        <v>12762</v>
      </c>
      <c r="E30" s="31">
        <f>D30*12</f>
        <v>153144</v>
      </c>
      <c r="F30" s="26" t="s">
        <v>38</v>
      </c>
    </row>
    <row r="31" spans="1:6" x14ac:dyDescent="0.25">
      <c r="A31" t="s">
        <v>302</v>
      </c>
      <c r="B31" s="36">
        <v>10</v>
      </c>
      <c r="C31" s="28">
        <v>1539</v>
      </c>
      <c r="D31" s="31">
        <f>B31*C31</f>
        <v>15390</v>
      </c>
      <c r="E31" s="31">
        <f>D31*12</f>
        <v>184680</v>
      </c>
      <c r="F31" s="26" t="s">
        <v>38</v>
      </c>
    </row>
    <row r="32" spans="1:6" x14ac:dyDescent="0.25">
      <c r="A32" s="42" t="s">
        <v>303</v>
      </c>
      <c r="B32" s="43">
        <f>SUM(B30:B31)</f>
        <v>16</v>
      </c>
      <c r="C32" s="44">
        <f>IFERROR(D32/B32,"")</f>
        <v>1759.5</v>
      </c>
      <c r="D32" s="44">
        <f>SUM(D30:D31)</f>
        <v>28152</v>
      </c>
      <c r="E32" s="44">
        <f>SUM(E30:E31)</f>
        <v>337824</v>
      </c>
    </row>
    <row r="34" spans="1:6" x14ac:dyDescent="0.25">
      <c r="A34" s="34" t="s">
        <v>304</v>
      </c>
      <c r="B34" s="35"/>
      <c r="C34" s="35"/>
      <c r="D34" s="35"/>
      <c r="E34" s="35"/>
      <c r="F34" s="35"/>
    </row>
    <row r="35" spans="1:6" x14ac:dyDescent="0.25">
      <c r="A35" s="45"/>
      <c r="B35" s="45" t="s">
        <v>305</v>
      </c>
      <c r="C35" s="45" t="s">
        <v>306</v>
      </c>
      <c r="D35" s="45"/>
      <c r="E35" s="45"/>
      <c r="F35" s="45" t="s">
        <v>307</v>
      </c>
    </row>
    <row r="36" spans="1:6" x14ac:dyDescent="0.25">
      <c r="A36" t="s">
        <v>308</v>
      </c>
      <c r="B36" s="31">
        <v>327868.85245901637</v>
      </c>
      <c r="C36" s="31">
        <f>E32</f>
        <v>337824</v>
      </c>
      <c r="F36" s="26" t="s">
        <v>309</v>
      </c>
    </row>
    <row r="37" spans="1:6" x14ac:dyDescent="0.25">
      <c r="A37" t="s">
        <v>310</v>
      </c>
      <c r="B37" s="31">
        <v>0</v>
      </c>
      <c r="C37" s="28">
        <v>0</v>
      </c>
    </row>
    <row r="38" spans="1:6" x14ac:dyDescent="0.25">
      <c r="A38" s="42" t="s">
        <v>311</v>
      </c>
      <c r="B38" s="31">
        <f>B36+B37</f>
        <v>327868.85245901637</v>
      </c>
      <c r="C38" s="31">
        <f>C36+C37</f>
        <v>337824</v>
      </c>
    </row>
    <row r="39" spans="1:6" x14ac:dyDescent="0.25">
      <c r="A39" t="s">
        <v>312</v>
      </c>
      <c r="B39" s="31">
        <f>-B36*0.03</f>
        <v>-9836.065573770491</v>
      </c>
      <c r="C39" s="31">
        <f>-C36*Assumptions!$B$3</f>
        <v>-10134.719999999999</v>
      </c>
      <c r="F39" s="26" t="s">
        <v>313</v>
      </c>
    </row>
    <row r="40" spans="1:6" x14ac:dyDescent="0.25">
      <c r="A40" s="42" t="s">
        <v>314</v>
      </c>
      <c r="B40" s="44">
        <f>B38+B39</f>
        <v>318032.78688524588</v>
      </c>
      <c r="C40" s="44">
        <f>C38+C39</f>
        <v>327689.28000000003</v>
      </c>
    </row>
    <row r="42" spans="1:6" x14ac:dyDescent="0.25">
      <c r="A42" s="34" t="s">
        <v>315</v>
      </c>
      <c r="B42" s="35"/>
      <c r="C42" s="35"/>
      <c r="D42" s="35"/>
      <c r="E42" s="35"/>
      <c r="F42" s="35"/>
    </row>
    <row r="43" spans="1:6" x14ac:dyDescent="0.25">
      <c r="A43" s="45" t="s">
        <v>316</v>
      </c>
      <c r="B43" s="45" t="s">
        <v>305</v>
      </c>
      <c r="C43" s="45" t="s">
        <v>317</v>
      </c>
      <c r="D43" s="45" t="s">
        <v>306</v>
      </c>
      <c r="E43" s="45" t="s">
        <v>318</v>
      </c>
      <c r="F43" s="45" t="s">
        <v>307</v>
      </c>
    </row>
    <row r="44" spans="1:6" x14ac:dyDescent="0.25">
      <c r="A44" t="s">
        <v>319</v>
      </c>
      <c r="B44" s="31"/>
      <c r="C44" s="31">
        <f>B22*Assumptions!$B$15</f>
        <v>52500</v>
      </c>
      <c r="D44" s="46">
        <f>C44</f>
        <v>52500</v>
      </c>
      <c r="E44" s="31" t="str">
        <f t="shared" ref="E44:E52" si="0">IF(ISNUMBER(B44),D44-B44,"")</f>
        <v/>
      </c>
      <c r="F44" s="26" t="s">
        <v>358</v>
      </c>
    </row>
    <row r="45" spans="1:6" x14ac:dyDescent="0.25">
      <c r="A45" t="s">
        <v>321</v>
      </c>
      <c r="B45" s="31"/>
      <c r="C45" s="31">
        <f>B7*Assumptions!$B$5+B8*Assumptions!$B$6</f>
        <v>16410</v>
      </c>
      <c r="D45" s="46">
        <f t="shared" ref="D45:D51" si="1">IF(ISNUMBER(B45),MAX(B45,C45),C45)</f>
        <v>16410</v>
      </c>
      <c r="E45" s="31" t="str">
        <f t="shared" si="0"/>
        <v/>
      </c>
      <c r="F45" s="26" t="s">
        <v>322</v>
      </c>
    </row>
    <row r="46" spans="1:6" x14ac:dyDescent="0.25">
      <c r="A46" t="s">
        <v>323</v>
      </c>
      <c r="B46" s="31"/>
      <c r="C46" s="31">
        <f>C40*Assumptions!$B$4</f>
        <v>16384.464000000004</v>
      </c>
      <c r="D46" s="46">
        <f t="shared" si="1"/>
        <v>16384.464000000004</v>
      </c>
      <c r="E46" s="31" t="str">
        <f t="shared" si="0"/>
        <v/>
      </c>
      <c r="F46" s="26" t="s">
        <v>324</v>
      </c>
    </row>
    <row r="47" spans="1:6" x14ac:dyDescent="0.25">
      <c r="A47" t="s">
        <v>325</v>
      </c>
      <c r="B47" s="31"/>
      <c r="C47" s="31">
        <f>B7*Assumptions!$B$7</f>
        <v>19200</v>
      </c>
      <c r="D47" s="46">
        <f t="shared" si="1"/>
        <v>19200</v>
      </c>
      <c r="E47" s="31" t="str">
        <f t="shared" si="0"/>
        <v/>
      </c>
      <c r="F47" s="26" t="s">
        <v>326</v>
      </c>
    </row>
    <row r="48" spans="1:6" x14ac:dyDescent="0.25">
      <c r="A48" t="s">
        <v>327</v>
      </c>
      <c r="B48" s="31"/>
      <c r="C48" s="31">
        <f>B7*Assumptions!$B$9</f>
        <v>24000</v>
      </c>
      <c r="D48" s="46">
        <f t="shared" si="1"/>
        <v>24000</v>
      </c>
      <c r="E48" s="31" t="str">
        <f t="shared" si="0"/>
        <v/>
      </c>
      <c r="F48" s="26" t="s">
        <v>328</v>
      </c>
    </row>
    <row r="49" spans="1:6" x14ac:dyDescent="0.25">
      <c r="A49" t="s">
        <v>329</v>
      </c>
      <c r="B49" s="31"/>
      <c r="C49" s="31">
        <f>B7*Assumptions!$B$12</f>
        <v>6400</v>
      </c>
      <c r="D49" s="46">
        <f t="shared" si="1"/>
        <v>6400</v>
      </c>
      <c r="E49" s="31" t="str">
        <f t="shared" si="0"/>
        <v/>
      </c>
      <c r="F49" s="26" t="s">
        <v>330</v>
      </c>
    </row>
    <row r="50" spans="1:6" x14ac:dyDescent="0.25">
      <c r="A50" t="s">
        <v>331</v>
      </c>
      <c r="B50" s="31"/>
      <c r="C50" s="31">
        <f>B7*Assumptions!$B$13</f>
        <v>4000</v>
      </c>
      <c r="D50" s="46">
        <f t="shared" si="1"/>
        <v>4000</v>
      </c>
      <c r="E50" s="31" t="str">
        <f t="shared" si="0"/>
        <v/>
      </c>
      <c r="F50" s="26" t="s">
        <v>332</v>
      </c>
    </row>
    <row r="51" spans="1:6" x14ac:dyDescent="0.25">
      <c r="A51" t="s">
        <v>333</v>
      </c>
      <c r="B51" s="31"/>
      <c r="C51" s="31">
        <f>B7*Assumptions!$B$14</f>
        <v>4800</v>
      </c>
      <c r="D51" s="46">
        <f t="shared" si="1"/>
        <v>4800</v>
      </c>
      <c r="E51" s="31" t="str">
        <f t="shared" si="0"/>
        <v/>
      </c>
      <c r="F51" s="26" t="s">
        <v>330</v>
      </c>
    </row>
    <row r="52" spans="1:6" x14ac:dyDescent="0.25">
      <c r="A52" s="42" t="s">
        <v>334</v>
      </c>
      <c r="B52" s="44">
        <f>B40-B22*B25</f>
        <v>139112.78688524588</v>
      </c>
      <c r="C52" s="44">
        <f>SUM(C44:C51)</f>
        <v>143694.46400000001</v>
      </c>
      <c r="D52" s="44">
        <f>SUM(D44:D51)</f>
        <v>143694.46400000001</v>
      </c>
      <c r="E52" s="44">
        <f t="shared" si="0"/>
        <v>4581.6771147541294</v>
      </c>
      <c r="F52" s="26" t="s">
        <v>335</v>
      </c>
    </row>
    <row r="53" spans="1:6" x14ac:dyDescent="0.25">
      <c r="A53" t="s">
        <v>336</v>
      </c>
      <c r="B53" s="31">
        <f>IFERROR(B52/B7,"")</f>
        <v>8694.5491803278674</v>
      </c>
      <c r="C53" s="31">
        <f>IFERROR(C52/B7,"")</f>
        <v>8980.9040000000005</v>
      </c>
      <c r="D53" s="31">
        <f>IFERROR(D52/B7,"")</f>
        <v>8980.9040000000005</v>
      </c>
    </row>
    <row r="54" spans="1:6" x14ac:dyDescent="0.25">
      <c r="A54" t="s">
        <v>337</v>
      </c>
      <c r="B54" s="39">
        <f>IFERROR(B52/B40,"")</f>
        <v>0.43741649484536077</v>
      </c>
      <c r="C54" s="39">
        <f>IFERROR(C52/C40,"")</f>
        <v>0.43850828443335099</v>
      </c>
      <c r="D54" s="39">
        <f>IF(C36&gt;0,IFERROR(D52/C40,""),"")</f>
        <v>0.43850828443335099</v>
      </c>
    </row>
    <row r="55" spans="1:6" x14ac:dyDescent="0.25">
      <c r="A55" s="42" t="s">
        <v>18</v>
      </c>
      <c r="B55" s="47" t="str">
        <f>IF(ISNUMBER(B52),IF(D52&gt;B52*(1+Assumptions!$B$24),"OM EXPENSES LIGHT","OM expenses reasonable"),"OM expenses not published")</f>
        <v>OM expenses reasonable</v>
      </c>
    </row>
    <row r="57" spans="1:6" x14ac:dyDescent="0.25">
      <c r="A57" s="34" t="s">
        <v>338</v>
      </c>
      <c r="B57" s="35"/>
      <c r="C57" s="35"/>
      <c r="D57" s="35"/>
      <c r="E57" s="35"/>
      <c r="F57" s="35"/>
    </row>
    <row r="58" spans="1:6" x14ac:dyDescent="0.25">
      <c r="A58" s="45"/>
      <c r="B58" s="45" t="s">
        <v>305</v>
      </c>
      <c r="C58" s="45" t="s">
        <v>306</v>
      </c>
      <c r="D58" s="45"/>
      <c r="E58" s="45"/>
      <c r="F58" s="45" t="s">
        <v>307</v>
      </c>
    </row>
    <row r="59" spans="1:6" x14ac:dyDescent="0.25">
      <c r="A59" s="42" t="s">
        <v>339</v>
      </c>
      <c r="B59" s="44">
        <f>B40-B52</f>
        <v>178920</v>
      </c>
      <c r="C59" s="44">
        <f>IF(C36&gt;0,C40-D52,"")</f>
        <v>183994.81600000002</v>
      </c>
    </row>
    <row r="60" spans="1:6" x14ac:dyDescent="0.25">
      <c r="A60" s="42" t="s">
        <v>340</v>
      </c>
      <c r="B60" s="39">
        <f>IFERROR(B59/B22,"")</f>
        <v>4.2599999999999999E-2</v>
      </c>
      <c r="C60" s="39">
        <f>IF(C59="","",IFERROR(C59/B22,""))</f>
        <v>4.3808289523809531E-2</v>
      </c>
      <c r="F60" s="26" t="s">
        <v>341</v>
      </c>
    </row>
    <row r="61" spans="1:6" x14ac:dyDescent="0.25">
      <c r="A61" t="s">
        <v>342</v>
      </c>
      <c r="B61" s="40">
        <f>IFERROR(B22/B36,"")</f>
        <v>12.81</v>
      </c>
      <c r="C61" s="40">
        <f>IF(C36&gt;0,IFERROR(B22/C36,""),"")</f>
        <v>12.432509235578289</v>
      </c>
    </row>
    <row r="62" spans="1:6" x14ac:dyDescent="0.25">
      <c r="A62" t="s">
        <v>343</v>
      </c>
      <c r="B62" s="31">
        <f>IFERROR(B59/B7,"")</f>
        <v>11182.5</v>
      </c>
      <c r="C62" s="31">
        <f>IF(C59="","",IFERROR(C59/B7,""))</f>
        <v>11499.676000000001</v>
      </c>
    </row>
    <row r="64" spans="1:6" x14ac:dyDescent="0.25">
      <c r="A64" s="34" t="s">
        <v>344</v>
      </c>
      <c r="B64" s="35"/>
      <c r="C64" s="35"/>
      <c r="D64" s="35"/>
      <c r="E64" s="35"/>
      <c r="F64" s="35"/>
    </row>
    <row r="65" spans="1:2" x14ac:dyDescent="0.25">
      <c r="A65" t="s">
        <v>345</v>
      </c>
      <c r="B65" s="31">
        <f>IFERROR(B22*Assumptions!$B$20,"")</f>
        <v>2520000</v>
      </c>
    </row>
    <row r="66" spans="1:2" x14ac:dyDescent="0.25">
      <c r="A66" t="s">
        <v>346</v>
      </c>
      <c r="B66" s="31">
        <f>IF(C59="","",IFERROR(PV(Assumptions!$B$22/12,Assumptions!$B$23*12,-C59/Assumptions!$B$21/12),""))</f>
        <v>1992200.487199652</v>
      </c>
    </row>
    <row r="67" spans="1:2" x14ac:dyDescent="0.25">
      <c r="A67" s="42" t="s">
        <v>347</v>
      </c>
      <c r="B67" s="31">
        <f>IFERROR(MIN(B65,B66),"")</f>
        <v>1992200.487199652</v>
      </c>
    </row>
    <row r="68" spans="1:2" x14ac:dyDescent="0.25">
      <c r="A68" t="s">
        <v>348</v>
      </c>
      <c r="B68" s="31">
        <f>IFERROR(B22-B67,"")</f>
        <v>2207799.512800348</v>
      </c>
    </row>
    <row r="69" spans="1:2" x14ac:dyDescent="0.25">
      <c r="A69" t="s">
        <v>349</v>
      </c>
      <c r="B69" s="31">
        <f>IFERROR(-PMT(Assumptions!$B$22/12,Assumptions!$B$23*12,B67)*12,"")</f>
        <v>147195.85279999959</v>
      </c>
    </row>
    <row r="70" spans="1:2" x14ac:dyDescent="0.25">
      <c r="A70" t="s">
        <v>350</v>
      </c>
      <c r="B70" s="40">
        <f>IFERROR(C59/B69,"")</f>
        <v>1.2500000000000036</v>
      </c>
    </row>
    <row r="71" spans="1:2" x14ac:dyDescent="0.25">
      <c r="A71" t="s">
        <v>351</v>
      </c>
      <c r="B71" s="31">
        <f>IFERROR(C59-B69,"")</f>
        <v>36798.963200000435</v>
      </c>
    </row>
    <row r="72" spans="1:2" x14ac:dyDescent="0.25">
      <c r="A72" t="s">
        <v>352</v>
      </c>
      <c r="B72" s="39">
        <f>IFERROR(B71/B68,"")</f>
        <v>1.6667710535602502E-2</v>
      </c>
    </row>
    <row r="74" spans="1:2" x14ac:dyDescent="0.25">
      <c r="A74" s="26" t="s">
        <v>353</v>
      </c>
    </row>
  </sheetData>
  <hyperlinks>
    <hyperlink ref="A3" r:id="rId1" xr:uid="{00000000-0004-0000-1E00-000000000000}"/>
  </hyperlinks>
  <pageMargins left="0.75" right="0.75" top="1" bottom="1" header="0.5" footer="0.5"/>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F76"/>
  <sheetViews>
    <sheetView showGridLines="0" workbookViewId="0">
      <pane ySplit="5" topLeftCell="A6" activePane="bottomLeft" state="frozen"/>
      <selection pane="bottomLeft"/>
    </sheetView>
  </sheetViews>
  <sheetFormatPr defaultRowHeight="15" x14ac:dyDescent="0.25"/>
  <cols>
    <col min="1" max="1" width="38" customWidth="1"/>
    <col min="2" max="5" width="16" customWidth="1"/>
    <col min="6" max="6" width="48" customWidth="1"/>
    <col min="7" max="7" width="12" customWidth="1"/>
  </cols>
  <sheetData>
    <row r="1" spans="1:3" ht="19.5" x14ac:dyDescent="0.3">
      <c r="A1" s="1" t="s">
        <v>174</v>
      </c>
    </row>
    <row r="2" spans="1:3" x14ac:dyDescent="0.25">
      <c r="A2" s="32" t="s">
        <v>270</v>
      </c>
    </row>
    <row r="3" spans="1:3" x14ac:dyDescent="0.25">
      <c r="A3" s="33" t="s">
        <v>271</v>
      </c>
      <c r="B3" s="26" t="s">
        <v>384</v>
      </c>
    </row>
    <row r="6" spans="1:3" x14ac:dyDescent="0.25">
      <c r="A6" s="34" t="s">
        <v>273</v>
      </c>
      <c r="B6" s="35"/>
      <c r="C6" s="35"/>
    </row>
    <row r="7" spans="1:3" x14ac:dyDescent="0.25">
      <c r="A7" t="s">
        <v>7</v>
      </c>
      <c r="B7" s="36">
        <v>10</v>
      </c>
    </row>
    <row r="8" spans="1:3" x14ac:dyDescent="0.25">
      <c r="A8" t="s">
        <v>274</v>
      </c>
      <c r="B8" s="36">
        <v>10523</v>
      </c>
    </row>
    <row r="9" spans="1:3" x14ac:dyDescent="0.25">
      <c r="A9" t="s">
        <v>10</v>
      </c>
      <c r="B9" s="36">
        <v>7405</v>
      </c>
    </row>
    <row r="10" spans="1:3" x14ac:dyDescent="0.25">
      <c r="A10" t="s">
        <v>275</v>
      </c>
      <c r="B10" s="37">
        <v>0.17</v>
      </c>
    </row>
    <row r="11" spans="1:3" x14ac:dyDescent="0.25">
      <c r="A11" t="s">
        <v>8</v>
      </c>
      <c r="B11">
        <v>1958</v>
      </c>
    </row>
    <row r="12" spans="1:3" x14ac:dyDescent="0.25">
      <c r="A12" t="s">
        <v>276</v>
      </c>
      <c r="B12" t="s">
        <v>355</v>
      </c>
    </row>
    <row r="13" spans="1:3" x14ac:dyDescent="0.25">
      <c r="A13" t="s">
        <v>278</v>
      </c>
      <c r="B13" t="s">
        <v>456</v>
      </c>
    </row>
    <row r="14" spans="1:3" x14ac:dyDescent="0.25">
      <c r="A14" t="s">
        <v>280</v>
      </c>
      <c r="B14" t="s">
        <v>34</v>
      </c>
    </row>
    <row r="15" spans="1:3" x14ac:dyDescent="0.25">
      <c r="A15" t="s">
        <v>281</v>
      </c>
      <c r="B15" t="s">
        <v>457</v>
      </c>
    </row>
    <row r="16" spans="1:3" x14ac:dyDescent="0.25">
      <c r="A16" t="s">
        <v>283</v>
      </c>
      <c r="B16" s="31">
        <v>3582053</v>
      </c>
    </row>
    <row r="17" spans="1:6" x14ac:dyDescent="0.25">
      <c r="A17" t="s">
        <v>284</v>
      </c>
      <c r="B17" t="s">
        <v>169</v>
      </c>
    </row>
    <row r="18" spans="1:6" x14ac:dyDescent="0.25">
      <c r="A18" t="s">
        <v>285</v>
      </c>
      <c r="B18" t="s">
        <v>175</v>
      </c>
    </row>
    <row r="19" spans="1:6" x14ac:dyDescent="0.25">
      <c r="A19" t="s">
        <v>286</v>
      </c>
      <c r="B19" t="s">
        <v>65</v>
      </c>
    </row>
    <row r="21" spans="1:6" x14ac:dyDescent="0.25">
      <c r="A21" s="34" t="s">
        <v>287</v>
      </c>
      <c r="B21" s="35"/>
      <c r="C21" s="35"/>
    </row>
    <row r="22" spans="1:6" x14ac:dyDescent="0.25">
      <c r="A22" t="s">
        <v>11</v>
      </c>
      <c r="B22" s="28">
        <v>4800000</v>
      </c>
    </row>
    <row r="23" spans="1:6" x14ac:dyDescent="0.25">
      <c r="A23" t="s">
        <v>288</v>
      </c>
      <c r="B23" s="31">
        <f>IFERROR(B22/B7,"")</f>
        <v>480000</v>
      </c>
    </row>
    <row r="24" spans="1:6" x14ac:dyDescent="0.25">
      <c r="A24" t="s">
        <v>289</v>
      </c>
      <c r="B24" s="38">
        <f>IFERROR(B22/B8,"")</f>
        <v>456.14368526085718</v>
      </c>
    </row>
    <row r="25" spans="1:6" x14ac:dyDescent="0.25">
      <c r="A25" t="s">
        <v>290</v>
      </c>
      <c r="B25" s="39">
        <v>0.04</v>
      </c>
    </row>
    <row r="26" spans="1:6" x14ac:dyDescent="0.25">
      <c r="A26" t="s">
        <v>291</v>
      </c>
      <c r="B26" s="40">
        <v>16</v>
      </c>
    </row>
    <row r="28" spans="1:6" x14ac:dyDescent="0.25">
      <c r="A28" s="34" t="s">
        <v>292</v>
      </c>
      <c r="B28" s="35"/>
      <c r="C28" s="35"/>
      <c r="D28" s="35"/>
      <c r="E28" s="35"/>
      <c r="F28" s="35"/>
    </row>
    <row r="29" spans="1:6" x14ac:dyDescent="0.25">
      <c r="A29" s="41" t="s">
        <v>293</v>
      </c>
      <c r="B29" s="41" t="s">
        <v>294</v>
      </c>
      <c r="C29" s="41" t="s">
        <v>295</v>
      </c>
      <c r="D29" s="41" t="s">
        <v>296</v>
      </c>
      <c r="E29" s="41" t="s">
        <v>297</v>
      </c>
      <c r="F29" s="41" t="s">
        <v>298</v>
      </c>
    </row>
    <row r="30" spans="1:6" x14ac:dyDescent="0.25">
      <c r="A30" t="s">
        <v>417</v>
      </c>
      <c r="B30" s="36">
        <v>6</v>
      </c>
      <c r="C30" s="48">
        <v>2860</v>
      </c>
      <c r="D30" s="31">
        <f>B30*C30</f>
        <v>17160</v>
      </c>
      <c r="E30" s="31">
        <f>D30*12</f>
        <v>205920</v>
      </c>
      <c r="F30" s="26" t="s">
        <v>45</v>
      </c>
    </row>
    <row r="31" spans="1:6" x14ac:dyDescent="0.25">
      <c r="A31" t="s">
        <v>302</v>
      </c>
      <c r="B31" s="36">
        <v>3</v>
      </c>
      <c r="C31" s="48">
        <v>2119</v>
      </c>
      <c r="D31" s="31">
        <f>B31*C31</f>
        <v>6357</v>
      </c>
      <c r="E31" s="31">
        <f>D31*12</f>
        <v>76284</v>
      </c>
      <c r="F31" s="26" t="s">
        <v>45</v>
      </c>
    </row>
    <row r="32" spans="1:6" x14ac:dyDescent="0.25">
      <c r="A32" t="s">
        <v>257</v>
      </c>
      <c r="B32" s="36">
        <v>1</v>
      </c>
      <c r="C32" s="48">
        <v>1483</v>
      </c>
      <c r="D32" s="31">
        <f>B32*C32</f>
        <v>1483</v>
      </c>
      <c r="E32" s="31">
        <f>D32*12</f>
        <v>17796</v>
      </c>
      <c r="F32" s="26" t="s">
        <v>45</v>
      </c>
    </row>
    <row r="33" spans="1:6" x14ac:dyDescent="0.25">
      <c r="A33" s="42" t="s">
        <v>303</v>
      </c>
      <c r="B33" s="43">
        <f>SUM(B30:B32)</f>
        <v>10</v>
      </c>
      <c r="C33" s="44">
        <f>IFERROR(D33/B33,"")</f>
        <v>2500</v>
      </c>
      <c r="D33" s="44">
        <f>SUM(D30:D32)</f>
        <v>25000</v>
      </c>
      <c r="E33" s="44">
        <f>SUM(E30:E32)</f>
        <v>300000</v>
      </c>
    </row>
    <row r="35" spans="1:6" x14ac:dyDescent="0.25">
      <c r="A35" s="34" t="s">
        <v>304</v>
      </c>
      <c r="B35" s="35"/>
      <c r="C35" s="35"/>
      <c r="D35" s="35"/>
      <c r="E35" s="35"/>
      <c r="F35" s="35"/>
    </row>
    <row r="36" spans="1:6" x14ac:dyDescent="0.25">
      <c r="A36" s="45"/>
      <c r="B36" s="45" t="s">
        <v>305</v>
      </c>
      <c r="C36" s="45" t="s">
        <v>306</v>
      </c>
      <c r="D36" s="45"/>
      <c r="E36" s="45"/>
      <c r="F36" s="45" t="s">
        <v>307</v>
      </c>
    </row>
    <row r="37" spans="1:6" x14ac:dyDescent="0.25">
      <c r="A37" t="s">
        <v>308</v>
      </c>
      <c r="B37" s="31">
        <v>306216</v>
      </c>
      <c r="C37" s="31">
        <f>E33</f>
        <v>300000</v>
      </c>
      <c r="F37" s="26" t="s">
        <v>387</v>
      </c>
    </row>
    <row r="38" spans="1:6" x14ac:dyDescent="0.25">
      <c r="A38" t="s">
        <v>310</v>
      </c>
      <c r="B38" s="31">
        <v>0</v>
      </c>
      <c r="C38" s="28">
        <v>0</v>
      </c>
    </row>
    <row r="39" spans="1:6" x14ac:dyDescent="0.25">
      <c r="A39" s="42" t="s">
        <v>311</v>
      </c>
      <c r="B39" s="31">
        <f>B37+B38</f>
        <v>306216</v>
      </c>
      <c r="C39" s="31">
        <f>C37+C38</f>
        <v>300000</v>
      </c>
    </row>
    <row r="40" spans="1:6" x14ac:dyDescent="0.25">
      <c r="A40" t="s">
        <v>312</v>
      </c>
      <c r="B40" s="31">
        <f>-B37*0.03</f>
        <v>-9186.48</v>
      </c>
      <c r="C40" s="31">
        <f>-C37*Assumptions!$B$3</f>
        <v>-9000</v>
      </c>
      <c r="F40" s="26" t="s">
        <v>313</v>
      </c>
    </row>
    <row r="41" spans="1:6" x14ac:dyDescent="0.25">
      <c r="A41" s="42" t="s">
        <v>314</v>
      </c>
      <c r="B41" s="44">
        <f>B39+B40</f>
        <v>297029.52</v>
      </c>
      <c r="C41" s="44">
        <f>C39+C40</f>
        <v>291000</v>
      </c>
    </row>
    <row r="43" spans="1:6" x14ac:dyDescent="0.25">
      <c r="A43" s="34" t="s">
        <v>315</v>
      </c>
      <c r="B43" s="35"/>
      <c r="C43" s="35"/>
      <c r="D43" s="35"/>
      <c r="E43" s="35"/>
      <c r="F43" s="35"/>
    </row>
    <row r="44" spans="1:6" x14ac:dyDescent="0.25">
      <c r="A44" s="45" t="s">
        <v>316</v>
      </c>
      <c r="B44" s="45" t="s">
        <v>305</v>
      </c>
      <c r="C44" s="45" t="s">
        <v>317</v>
      </c>
      <c r="D44" s="45" t="s">
        <v>306</v>
      </c>
      <c r="E44" s="45" t="s">
        <v>318</v>
      </c>
      <c r="F44" s="45" t="s">
        <v>307</v>
      </c>
    </row>
    <row r="45" spans="1:6" x14ac:dyDescent="0.25">
      <c r="A45" t="s">
        <v>319</v>
      </c>
      <c r="B45" s="31">
        <v>57500</v>
      </c>
      <c r="C45" s="31">
        <f>B22*Assumptions!$B$16</f>
        <v>55200</v>
      </c>
      <c r="D45" s="46">
        <f>C45</f>
        <v>55200</v>
      </c>
      <c r="E45" s="31">
        <f t="shared" ref="E45:E54" si="0">IF(ISNUMBER(B45),D45-B45,"")</f>
        <v>-2300</v>
      </c>
      <c r="F45" s="26" t="s">
        <v>320</v>
      </c>
    </row>
    <row r="46" spans="1:6" x14ac:dyDescent="0.25">
      <c r="A46" t="s">
        <v>321</v>
      </c>
      <c r="B46" s="31"/>
      <c r="C46" s="31">
        <f>B7*Assumptions!$B$5+B8*Assumptions!$B$6</f>
        <v>12523</v>
      </c>
      <c r="D46" s="46">
        <f t="shared" ref="D46:D52" si="1">IF(ISNUMBER(B46),MAX(B46,C46),C46)</f>
        <v>12523</v>
      </c>
      <c r="E46" s="31" t="str">
        <f t="shared" si="0"/>
        <v/>
      </c>
      <c r="F46" s="26" t="s">
        <v>322</v>
      </c>
    </row>
    <row r="47" spans="1:6" x14ac:dyDescent="0.25">
      <c r="A47" t="s">
        <v>323</v>
      </c>
      <c r="B47" s="31"/>
      <c r="C47" s="31">
        <f>C41*Assumptions!$B$4</f>
        <v>14550</v>
      </c>
      <c r="D47" s="46">
        <f t="shared" si="1"/>
        <v>14550</v>
      </c>
      <c r="E47" s="31" t="str">
        <f t="shared" si="0"/>
        <v/>
      </c>
      <c r="F47" s="26" t="s">
        <v>324</v>
      </c>
    </row>
    <row r="48" spans="1:6" x14ac:dyDescent="0.25">
      <c r="A48" t="s">
        <v>325</v>
      </c>
      <c r="B48" s="31"/>
      <c r="C48" s="31">
        <f>B7*Assumptions!$B$7</f>
        <v>12000</v>
      </c>
      <c r="D48" s="46">
        <f t="shared" si="1"/>
        <v>12000</v>
      </c>
      <c r="E48" s="31" t="str">
        <f t="shared" si="0"/>
        <v/>
      </c>
      <c r="F48" s="26" t="s">
        <v>326</v>
      </c>
    </row>
    <row r="49" spans="1:6" x14ac:dyDescent="0.25">
      <c r="A49" t="s">
        <v>327</v>
      </c>
      <c r="B49" s="31"/>
      <c r="C49" s="31">
        <f>B7*Assumptions!$B$10</f>
        <v>18000</v>
      </c>
      <c r="D49" s="46">
        <f t="shared" si="1"/>
        <v>18000</v>
      </c>
      <c r="E49" s="31" t="str">
        <f t="shared" si="0"/>
        <v/>
      </c>
      <c r="F49" s="26" t="s">
        <v>328</v>
      </c>
    </row>
    <row r="50" spans="1:6" x14ac:dyDescent="0.25">
      <c r="A50" t="s">
        <v>329</v>
      </c>
      <c r="B50" s="31"/>
      <c r="C50" s="31">
        <f>B7*Assumptions!$B$12</f>
        <v>4000</v>
      </c>
      <c r="D50" s="46">
        <f t="shared" si="1"/>
        <v>4000</v>
      </c>
      <c r="E50" s="31" t="str">
        <f t="shared" si="0"/>
        <v/>
      </c>
      <c r="F50" s="26" t="s">
        <v>330</v>
      </c>
    </row>
    <row r="51" spans="1:6" x14ac:dyDescent="0.25">
      <c r="A51" t="s">
        <v>331</v>
      </c>
      <c r="B51" s="31"/>
      <c r="C51" s="31">
        <f>B7*Assumptions!$B$13</f>
        <v>2500</v>
      </c>
      <c r="D51" s="46">
        <f t="shared" si="1"/>
        <v>2500</v>
      </c>
      <c r="E51" s="31" t="str">
        <f t="shared" si="0"/>
        <v/>
      </c>
      <c r="F51" s="26" t="s">
        <v>332</v>
      </c>
    </row>
    <row r="52" spans="1:6" x14ac:dyDescent="0.25">
      <c r="A52" t="s">
        <v>333</v>
      </c>
      <c r="B52" s="31"/>
      <c r="C52" s="31">
        <f>B7*Assumptions!$B$14</f>
        <v>3000</v>
      </c>
      <c r="D52" s="46">
        <f t="shared" si="1"/>
        <v>3000</v>
      </c>
      <c r="E52" s="31" t="str">
        <f t="shared" si="0"/>
        <v/>
      </c>
      <c r="F52" s="26" t="s">
        <v>330</v>
      </c>
    </row>
    <row r="53" spans="1:6" x14ac:dyDescent="0.25">
      <c r="A53" t="s">
        <v>458</v>
      </c>
      <c r="B53" s="31">
        <v>48850</v>
      </c>
      <c r="C53" s="31">
        <f>0</f>
        <v>0</v>
      </c>
      <c r="D53" s="46">
        <f>C53</f>
        <v>0</v>
      </c>
      <c r="E53" s="31">
        <f t="shared" si="0"/>
        <v>-48850</v>
      </c>
      <c r="F53" s="26" t="s">
        <v>459</v>
      </c>
    </row>
    <row r="54" spans="1:6" x14ac:dyDescent="0.25">
      <c r="A54" s="42" t="s">
        <v>334</v>
      </c>
      <c r="B54" s="44">
        <f>SUM(B45:B53)</f>
        <v>106350</v>
      </c>
      <c r="C54" s="44">
        <f>SUM(C45:C53)</f>
        <v>121773</v>
      </c>
      <c r="D54" s="44">
        <f>SUM(D45:D53)</f>
        <v>121773</v>
      </c>
      <c r="E54" s="44">
        <f t="shared" si="0"/>
        <v>15423</v>
      </c>
      <c r="F54" s="26" t="s">
        <v>460</v>
      </c>
    </row>
    <row r="55" spans="1:6" x14ac:dyDescent="0.25">
      <c r="A55" t="s">
        <v>336</v>
      </c>
      <c r="B55" s="31">
        <f>IFERROR(B54/B7,"")</f>
        <v>10635</v>
      </c>
      <c r="C55" s="31">
        <f>IFERROR(C54/B7,"")</f>
        <v>12177.3</v>
      </c>
      <c r="D55" s="31">
        <f>IFERROR(D54/B7,"")</f>
        <v>12177.3</v>
      </c>
    </row>
    <row r="56" spans="1:6" x14ac:dyDescent="0.25">
      <c r="A56" t="s">
        <v>337</v>
      </c>
      <c r="B56" s="39">
        <f>IFERROR(B54/B41,"")</f>
        <v>0.35804522055585586</v>
      </c>
      <c r="C56" s="39">
        <f>IFERROR(C54/C41,"")</f>
        <v>0.41846391752577322</v>
      </c>
      <c r="D56" s="39">
        <f>IF(C37&gt;0,IFERROR(D54/C41,""),"")</f>
        <v>0.41846391752577322</v>
      </c>
    </row>
    <row r="57" spans="1:6" x14ac:dyDescent="0.25">
      <c r="A57" s="42" t="s">
        <v>18</v>
      </c>
      <c r="B57" s="47" t="str">
        <f>IF(ISNUMBER(B54),IF(D54&gt;B54*(1+Assumptions!$B$24),"OM EXPENSES LIGHT","OM expenses reasonable"),"OM expenses not published")</f>
        <v>OM EXPENSES LIGHT</v>
      </c>
    </row>
    <row r="59" spans="1:6" x14ac:dyDescent="0.25">
      <c r="A59" s="34" t="s">
        <v>338</v>
      </c>
      <c r="B59" s="35"/>
      <c r="C59" s="35"/>
      <c r="D59" s="35"/>
      <c r="E59" s="35"/>
      <c r="F59" s="35"/>
    </row>
    <row r="60" spans="1:6" x14ac:dyDescent="0.25">
      <c r="A60" s="45"/>
      <c r="B60" s="45" t="s">
        <v>305</v>
      </c>
      <c r="C60" s="45" t="s">
        <v>306</v>
      </c>
      <c r="D60" s="45"/>
      <c r="E60" s="45"/>
      <c r="F60" s="45" t="s">
        <v>307</v>
      </c>
    </row>
    <row r="61" spans="1:6" x14ac:dyDescent="0.25">
      <c r="A61" s="42" t="s">
        <v>339</v>
      </c>
      <c r="B61" s="44">
        <f>B41-B54</f>
        <v>190679.52000000002</v>
      </c>
      <c r="C61" s="44">
        <f>IF(C37&gt;0,C41-D54,"")</f>
        <v>169227</v>
      </c>
    </row>
    <row r="62" spans="1:6" x14ac:dyDescent="0.25">
      <c r="A62" s="42" t="s">
        <v>340</v>
      </c>
      <c r="B62" s="39">
        <f>IFERROR(B61/B22,"")</f>
        <v>3.97249E-2</v>
      </c>
      <c r="C62" s="39">
        <f>IF(C61="","",IFERROR(C61/B22,""))</f>
        <v>3.5255624999999999E-2</v>
      </c>
      <c r="F62" s="26" t="s">
        <v>341</v>
      </c>
    </row>
    <row r="63" spans="1:6" x14ac:dyDescent="0.25">
      <c r="A63" t="s">
        <v>342</v>
      </c>
      <c r="B63" s="40">
        <f>IFERROR(B22/B37,"")</f>
        <v>15.675209655929148</v>
      </c>
      <c r="C63" s="40">
        <f>IF(C37&gt;0,IFERROR(B22/C37,""),"")</f>
        <v>16</v>
      </c>
    </row>
    <row r="64" spans="1:6" x14ac:dyDescent="0.25">
      <c r="A64" t="s">
        <v>343</v>
      </c>
      <c r="B64" s="31">
        <f>IFERROR(B61/B7,"")</f>
        <v>19067.952000000001</v>
      </c>
      <c r="C64" s="31">
        <f>IF(C61="","",IFERROR(C61/B7,""))</f>
        <v>16922.7</v>
      </c>
    </row>
    <row r="66" spans="1:6" x14ac:dyDescent="0.25">
      <c r="A66" s="34" t="s">
        <v>344</v>
      </c>
      <c r="B66" s="35"/>
      <c r="C66" s="35"/>
      <c r="D66" s="35"/>
      <c r="E66" s="35"/>
      <c r="F66" s="35"/>
    </row>
    <row r="67" spans="1:6" x14ac:dyDescent="0.25">
      <c r="A67" t="s">
        <v>345</v>
      </c>
      <c r="B67" s="31">
        <f>IFERROR(B22*Assumptions!$B$20,"")</f>
        <v>2880000</v>
      </c>
    </row>
    <row r="68" spans="1:6" x14ac:dyDescent="0.25">
      <c r="A68" t="s">
        <v>346</v>
      </c>
      <c r="B68" s="31">
        <f>IF(C61="","",IFERROR(PV(Assumptions!$B$22/12,Assumptions!$B$23*12,-C61/Assumptions!$B$21/12),""))</f>
        <v>1832302.2309896788</v>
      </c>
    </row>
    <row r="69" spans="1:6" x14ac:dyDescent="0.25">
      <c r="A69" s="42" t="s">
        <v>347</v>
      </c>
      <c r="B69" s="31">
        <f>IFERROR(MIN(B67,B68),"")</f>
        <v>1832302.2309896788</v>
      </c>
    </row>
    <row r="70" spans="1:6" x14ac:dyDescent="0.25">
      <c r="A70" t="s">
        <v>348</v>
      </c>
      <c r="B70" s="31">
        <f>IFERROR(B22-B69,"")</f>
        <v>2967697.7690103212</v>
      </c>
    </row>
    <row r="71" spans="1:6" x14ac:dyDescent="0.25">
      <c r="A71" t="s">
        <v>349</v>
      </c>
      <c r="B71" s="31">
        <f>IFERROR(-PMT(Assumptions!$B$22/12,Assumptions!$B$23*12,B69)*12,"")</f>
        <v>135381.59999999957</v>
      </c>
    </row>
    <row r="72" spans="1:6" x14ac:dyDescent="0.25">
      <c r="A72" t="s">
        <v>350</v>
      </c>
      <c r="B72" s="40">
        <f>IFERROR(C61/B71,"")</f>
        <v>1.250000000000004</v>
      </c>
    </row>
    <row r="73" spans="1:6" x14ac:dyDescent="0.25">
      <c r="A73" t="s">
        <v>351</v>
      </c>
      <c r="B73" s="31">
        <f>IFERROR(C61-B71,"")</f>
        <v>33845.400000000431</v>
      </c>
    </row>
    <row r="74" spans="1:6" x14ac:dyDescent="0.25">
      <c r="A74" t="s">
        <v>352</v>
      </c>
      <c r="B74" s="39">
        <f>IFERROR(B73/B70,"")</f>
        <v>1.1404597986164649E-2</v>
      </c>
    </row>
    <row r="76" spans="1:6" x14ac:dyDescent="0.25">
      <c r="A76" s="26" t="s">
        <v>353</v>
      </c>
    </row>
  </sheetData>
  <hyperlinks>
    <hyperlink ref="A3" r:id="rId1" xr:uid="{00000000-0004-0000-1F00-000000000000}"/>
  </hyperlinks>
  <pageMargins left="0.75" right="0.75" top="1" bottom="1" header="0.5" footer="0.5"/>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F74"/>
  <sheetViews>
    <sheetView showGridLines="0" workbookViewId="0">
      <pane ySplit="5" topLeftCell="A6" activePane="bottomLeft" state="frozen"/>
      <selection pane="bottomLeft"/>
    </sheetView>
  </sheetViews>
  <sheetFormatPr defaultRowHeight="15" x14ac:dyDescent="0.25"/>
  <cols>
    <col min="1" max="1" width="38" customWidth="1"/>
    <col min="2" max="5" width="16" customWidth="1"/>
    <col min="6" max="6" width="48" customWidth="1"/>
    <col min="7" max="7" width="12" customWidth="1"/>
  </cols>
  <sheetData>
    <row r="1" spans="1:3" ht="19.5" x14ac:dyDescent="0.3">
      <c r="A1" s="1" t="s">
        <v>176</v>
      </c>
    </row>
    <row r="2" spans="1:3" x14ac:dyDescent="0.25">
      <c r="A2" s="32" t="s">
        <v>391</v>
      </c>
    </row>
    <row r="3" spans="1:3" x14ac:dyDescent="0.25">
      <c r="A3" s="33" t="s">
        <v>271</v>
      </c>
      <c r="B3" s="26" t="s">
        <v>272</v>
      </c>
    </row>
    <row r="6" spans="1:3" x14ac:dyDescent="0.25">
      <c r="A6" s="34" t="s">
        <v>273</v>
      </c>
      <c r="B6" s="35"/>
      <c r="C6" s="35"/>
    </row>
    <row r="7" spans="1:3" x14ac:dyDescent="0.25">
      <c r="A7" t="s">
        <v>7</v>
      </c>
      <c r="B7" s="36">
        <v>10</v>
      </c>
    </row>
    <row r="8" spans="1:3" x14ac:dyDescent="0.25">
      <c r="A8" t="s">
        <v>274</v>
      </c>
      <c r="B8" s="36">
        <v>10171</v>
      </c>
    </row>
    <row r="9" spans="1:3" x14ac:dyDescent="0.25">
      <c r="A9" t="s">
        <v>10</v>
      </c>
      <c r="B9" s="36">
        <v>15246</v>
      </c>
    </row>
    <row r="10" spans="1:3" x14ac:dyDescent="0.25">
      <c r="A10" t="s">
        <v>275</v>
      </c>
      <c r="B10" s="37">
        <v>0.35</v>
      </c>
    </row>
    <row r="11" spans="1:3" x14ac:dyDescent="0.25">
      <c r="A11" t="s">
        <v>8</v>
      </c>
      <c r="B11">
        <v>1939</v>
      </c>
    </row>
    <row r="12" spans="1:3" x14ac:dyDescent="0.25">
      <c r="A12" t="s">
        <v>276</v>
      </c>
      <c r="B12" t="s">
        <v>355</v>
      </c>
    </row>
    <row r="13" spans="1:3" x14ac:dyDescent="0.25">
      <c r="A13" t="s">
        <v>278</v>
      </c>
      <c r="B13" t="s">
        <v>461</v>
      </c>
    </row>
    <row r="14" spans="1:3" x14ac:dyDescent="0.25">
      <c r="A14" t="s">
        <v>280</v>
      </c>
      <c r="B14" t="s">
        <v>34</v>
      </c>
    </row>
    <row r="15" spans="1:3" x14ac:dyDescent="0.25">
      <c r="A15" t="s">
        <v>281</v>
      </c>
      <c r="B15" t="s">
        <v>462</v>
      </c>
    </row>
    <row r="16" spans="1:3" x14ac:dyDescent="0.25">
      <c r="A16" t="s">
        <v>283</v>
      </c>
      <c r="B16" s="31">
        <v>597131</v>
      </c>
    </row>
    <row r="17" spans="1:6" x14ac:dyDescent="0.25">
      <c r="A17" t="s">
        <v>284</v>
      </c>
      <c r="B17" t="s">
        <v>177</v>
      </c>
    </row>
    <row r="18" spans="1:6" x14ac:dyDescent="0.25">
      <c r="A18" t="s">
        <v>285</v>
      </c>
      <c r="B18" t="s">
        <v>178</v>
      </c>
    </row>
    <row r="19" spans="1:6" x14ac:dyDescent="0.25">
      <c r="A19" t="s">
        <v>286</v>
      </c>
      <c r="B19" t="s">
        <v>178</v>
      </c>
    </row>
    <row r="21" spans="1:6" x14ac:dyDescent="0.25">
      <c r="A21" s="34" t="s">
        <v>287</v>
      </c>
      <c r="B21" s="35"/>
      <c r="C21" s="35"/>
    </row>
    <row r="22" spans="1:6" x14ac:dyDescent="0.25">
      <c r="A22" t="s">
        <v>11</v>
      </c>
      <c r="B22" s="28">
        <v>4995000</v>
      </c>
    </row>
    <row r="23" spans="1:6" x14ac:dyDescent="0.25">
      <c r="A23" t="s">
        <v>288</v>
      </c>
      <c r="B23" s="31">
        <f>IFERROR(B22/B7,"")</f>
        <v>499500</v>
      </c>
    </row>
    <row r="24" spans="1:6" x14ac:dyDescent="0.25">
      <c r="A24" t="s">
        <v>289</v>
      </c>
      <c r="B24" s="38">
        <f>IFERROR(B22/B8,"")</f>
        <v>491.10215318061154</v>
      </c>
    </row>
    <row r="25" spans="1:6" x14ac:dyDescent="0.25">
      <c r="A25" t="s">
        <v>290</v>
      </c>
      <c r="B25" s="39">
        <v>3.7999999999999999E-2</v>
      </c>
    </row>
    <row r="26" spans="1:6" x14ac:dyDescent="0.25">
      <c r="A26" t="s">
        <v>291</v>
      </c>
      <c r="B26" s="40">
        <v>16.27</v>
      </c>
    </row>
    <row r="28" spans="1:6" x14ac:dyDescent="0.25">
      <c r="A28" s="34" t="s">
        <v>292</v>
      </c>
      <c r="B28" s="35"/>
      <c r="C28" s="35"/>
      <c r="D28" s="35"/>
      <c r="E28" s="35"/>
      <c r="F28" s="35"/>
    </row>
    <row r="29" spans="1:6" x14ac:dyDescent="0.25">
      <c r="A29" s="41" t="s">
        <v>293</v>
      </c>
      <c r="B29" s="41" t="s">
        <v>294</v>
      </c>
      <c r="C29" s="41" t="s">
        <v>295</v>
      </c>
      <c r="D29" s="41" t="s">
        <v>296</v>
      </c>
      <c r="E29" s="41" t="s">
        <v>297</v>
      </c>
      <c r="F29" s="41" t="s">
        <v>298</v>
      </c>
    </row>
    <row r="30" spans="1:6" x14ac:dyDescent="0.25">
      <c r="A30" t="s">
        <v>301</v>
      </c>
      <c r="B30" s="36">
        <v>4</v>
      </c>
      <c r="C30" s="28">
        <v>2736</v>
      </c>
      <c r="D30" s="31">
        <f>B30*C30</f>
        <v>10944</v>
      </c>
      <c r="E30" s="31">
        <f>D30*12</f>
        <v>131328</v>
      </c>
      <c r="F30" s="26" t="s">
        <v>38</v>
      </c>
    </row>
    <row r="31" spans="1:6" x14ac:dyDescent="0.25">
      <c r="A31" t="s">
        <v>302</v>
      </c>
      <c r="B31" s="36">
        <v>6</v>
      </c>
      <c r="C31" s="28">
        <v>2424</v>
      </c>
      <c r="D31" s="31">
        <f>B31*C31</f>
        <v>14544</v>
      </c>
      <c r="E31" s="31">
        <f>D31*12</f>
        <v>174528</v>
      </c>
      <c r="F31" s="26" t="s">
        <v>38</v>
      </c>
    </row>
    <row r="32" spans="1:6" x14ac:dyDescent="0.25">
      <c r="A32" s="42" t="s">
        <v>303</v>
      </c>
      <c r="B32" s="43">
        <f>SUM(B30:B31)</f>
        <v>10</v>
      </c>
      <c r="C32" s="44">
        <f>IFERROR(D32/B32,"")</f>
        <v>2548.8000000000002</v>
      </c>
      <c r="D32" s="44">
        <f>SUM(D30:D31)</f>
        <v>25488</v>
      </c>
      <c r="E32" s="44">
        <f>SUM(E30:E31)</f>
        <v>305856</v>
      </c>
    </row>
    <row r="34" spans="1:6" x14ac:dyDescent="0.25">
      <c r="A34" s="34" t="s">
        <v>304</v>
      </c>
      <c r="B34" s="35"/>
      <c r="C34" s="35"/>
      <c r="D34" s="35"/>
      <c r="E34" s="35"/>
      <c r="F34" s="35"/>
    </row>
    <row r="35" spans="1:6" x14ac:dyDescent="0.25">
      <c r="A35" s="45"/>
      <c r="B35" s="45" t="s">
        <v>305</v>
      </c>
      <c r="C35" s="45" t="s">
        <v>306</v>
      </c>
      <c r="D35" s="45"/>
      <c r="E35" s="45"/>
      <c r="F35" s="45" t="s">
        <v>307</v>
      </c>
    </row>
    <row r="36" spans="1:6" x14ac:dyDescent="0.25">
      <c r="A36" t="s">
        <v>308</v>
      </c>
      <c r="B36" s="31">
        <v>307006.76090964972</v>
      </c>
      <c r="C36" s="31">
        <f>E32</f>
        <v>305856</v>
      </c>
      <c r="F36" s="26" t="s">
        <v>309</v>
      </c>
    </row>
    <row r="37" spans="1:6" x14ac:dyDescent="0.25">
      <c r="A37" t="s">
        <v>310</v>
      </c>
      <c r="B37" s="31">
        <v>0</v>
      </c>
      <c r="C37" s="28">
        <v>0</v>
      </c>
    </row>
    <row r="38" spans="1:6" x14ac:dyDescent="0.25">
      <c r="A38" s="42" t="s">
        <v>311</v>
      </c>
      <c r="B38" s="31">
        <f>B36+B37</f>
        <v>307006.76090964972</v>
      </c>
      <c r="C38" s="31">
        <f>C36+C37</f>
        <v>305856</v>
      </c>
    </row>
    <row r="39" spans="1:6" x14ac:dyDescent="0.25">
      <c r="A39" t="s">
        <v>312</v>
      </c>
      <c r="B39" s="31">
        <f>-B36*0.03</f>
        <v>-9210.2028272894913</v>
      </c>
      <c r="C39" s="31">
        <f>-C36*Assumptions!$B$3</f>
        <v>-9175.68</v>
      </c>
      <c r="F39" s="26" t="s">
        <v>313</v>
      </c>
    </row>
    <row r="40" spans="1:6" x14ac:dyDescent="0.25">
      <c r="A40" s="42" t="s">
        <v>314</v>
      </c>
      <c r="B40" s="44">
        <f>B38+B39</f>
        <v>297796.55808236025</v>
      </c>
      <c r="C40" s="44">
        <f>C38+C39</f>
        <v>296680.32000000001</v>
      </c>
    </row>
    <row r="42" spans="1:6" x14ac:dyDescent="0.25">
      <c r="A42" s="34" t="s">
        <v>315</v>
      </c>
      <c r="B42" s="35"/>
      <c r="C42" s="35"/>
      <c r="D42" s="35"/>
      <c r="E42" s="35"/>
      <c r="F42" s="35"/>
    </row>
    <row r="43" spans="1:6" x14ac:dyDescent="0.25">
      <c r="A43" s="45" t="s">
        <v>316</v>
      </c>
      <c r="B43" s="45" t="s">
        <v>305</v>
      </c>
      <c r="C43" s="45" t="s">
        <v>317</v>
      </c>
      <c r="D43" s="45" t="s">
        <v>306</v>
      </c>
      <c r="E43" s="45" t="s">
        <v>318</v>
      </c>
      <c r="F43" s="45" t="s">
        <v>307</v>
      </c>
    </row>
    <row r="44" spans="1:6" x14ac:dyDescent="0.25">
      <c r="A44" t="s">
        <v>319</v>
      </c>
      <c r="B44" s="31"/>
      <c r="C44" s="31">
        <f>B22*Assumptions!$B$18</f>
        <v>59940</v>
      </c>
      <c r="D44" s="46">
        <f>C44</f>
        <v>59940</v>
      </c>
      <c r="E44" s="31" t="str">
        <f t="shared" ref="E44:E52" si="0">IF(ISNUMBER(B44),D44-B44,"")</f>
        <v/>
      </c>
      <c r="F44" s="26" t="s">
        <v>394</v>
      </c>
    </row>
    <row r="45" spans="1:6" x14ac:dyDescent="0.25">
      <c r="A45" t="s">
        <v>321</v>
      </c>
      <c r="B45" s="31"/>
      <c r="C45" s="31">
        <f>B7*Assumptions!$B$5+B8*Assumptions!$B$6</f>
        <v>12171</v>
      </c>
      <c r="D45" s="46">
        <f t="shared" ref="D45:D51" si="1">IF(ISNUMBER(B45),MAX(B45,C45),C45)</f>
        <v>12171</v>
      </c>
      <c r="E45" s="31" t="str">
        <f t="shared" si="0"/>
        <v/>
      </c>
      <c r="F45" s="26" t="s">
        <v>322</v>
      </c>
    </row>
    <row r="46" spans="1:6" x14ac:dyDescent="0.25">
      <c r="A46" t="s">
        <v>323</v>
      </c>
      <c r="B46" s="31"/>
      <c r="C46" s="31">
        <f>C40*Assumptions!$B$4</f>
        <v>14834.016000000001</v>
      </c>
      <c r="D46" s="46">
        <f t="shared" si="1"/>
        <v>14834.016000000001</v>
      </c>
      <c r="E46" s="31" t="str">
        <f t="shared" si="0"/>
        <v/>
      </c>
      <c r="F46" s="26" t="s">
        <v>324</v>
      </c>
    </row>
    <row r="47" spans="1:6" x14ac:dyDescent="0.25">
      <c r="A47" t="s">
        <v>325</v>
      </c>
      <c r="B47" s="31"/>
      <c r="C47" s="31">
        <f>B7*Assumptions!$B$7</f>
        <v>12000</v>
      </c>
      <c r="D47" s="46">
        <f t="shared" si="1"/>
        <v>12000</v>
      </c>
      <c r="E47" s="31" t="str">
        <f t="shared" si="0"/>
        <v/>
      </c>
      <c r="F47" s="26" t="s">
        <v>326</v>
      </c>
    </row>
    <row r="48" spans="1:6" x14ac:dyDescent="0.25">
      <c r="A48" t="s">
        <v>327</v>
      </c>
      <c r="B48" s="31"/>
      <c r="C48" s="31">
        <f>B7*Assumptions!$B$11</f>
        <v>16000</v>
      </c>
      <c r="D48" s="46">
        <f t="shared" si="1"/>
        <v>16000</v>
      </c>
      <c r="E48" s="31" t="str">
        <f t="shared" si="0"/>
        <v/>
      </c>
      <c r="F48" s="26" t="s">
        <v>328</v>
      </c>
    </row>
    <row r="49" spans="1:6" x14ac:dyDescent="0.25">
      <c r="A49" t="s">
        <v>329</v>
      </c>
      <c r="B49" s="31"/>
      <c r="C49" s="31">
        <f>B7*Assumptions!$B$12</f>
        <v>4000</v>
      </c>
      <c r="D49" s="46">
        <f t="shared" si="1"/>
        <v>4000</v>
      </c>
      <c r="E49" s="31" t="str">
        <f t="shared" si="0"/>
        <v/>
      </c>
      <c r="F49" s="26" t="s">
        <v>330</v>
      </c>
    </row>
    <row r="50" spans="1:6" x14ac:dyDescent="0.25">
      <c r="A50" t="s">
        <v>331</v>
      </c>
      <c r="B50" s="31"/>
      <c r="C50" s="31">
        <f>B7*Assumptions!$B$13</f>
        <v>2500</v>
      </c>
      <c r="D50" s="46">
        <f t="shared" si="1"/>
        <v>2500</v>
      </c>
      <c r="E50" s="31" t="str">
        <f t="shared" si="0"/>
        <v/>
      </c>
      <c r="F50" s="26" t="s">
        <v>332</v>
      </c>
    </row>
    <row r="51" spans="1:6" x14ac:dyDescent="0.25">
      <c r="A51" t="s">
        <v>333</v>
      </c>
      <c r="B51" s="31"/>
      <c r="C51" s="31">
        <f>B7*Assumptions!$B$14</f>
        <v>3000</v>
      </c>
      <c r="D51" s="46">
        <f t="shared" si="1"/>
        <v>3000</v>
      </c>
      <c r="E51" s="31" t="str">
        <f t="shared" si="0"/>
        <v/>
      </c>
      <c r="F51" s="26" t="s">
        <v>330</v>
      </c>
    </row>
    <row r="52" spans="1:6" x14ac:dyDescent="0.25">
      <c r="A52" s="42" t="s">
        <v>334</v>
      </c>
      <c r="B52" s="44">
        <f>B40-B22*B25</f>
        <v>107986.55808236025</v>
      </c>
      <c r="C52" s="44">
        <f>SUM(C44:C51)</f>
        <v>124445.016</v>
      </c>
      <c r="D52" s="44">
        <f>SUM(D44:D51)</f>
        <v>124445.016</v>
      </c>
      <c r="E52" s="44">
        <f t="shared" si="0"/>
        <v>16458.457917639753</v>
      </c>
      <c r="F52" s="26" t="s">
        <v>335</v>
      </c>
    </row>
    <row r="53" spans="1:6" x14ac:dyDescent="0.25">
      <c r="A53" t="s">
        <v>336</v>
      </c>
      <c r="B53" s="31">
        <f>IFERROR(B52/B7,"")</f>
        <v>10798.655808236024</v>
      </c>
      <c r="C53" s="31">
        <f>IFERROR(C52/B7,"")</f>
        <v>12444.5016</v>
      </c>
      <c r="D53" s="31">
        <f>IFERROR(D52/B7,"")</f>
        <v>12444.5016</v>
      </c>
    </row>
    <row r="54" spans="1:6" x14ac:dyDescent="0.25">
      <c r="A54" t="s">
        <v>337</v>
      </c>
      <c r="B54" s="39">
        <f>IFERROR(B52/B40,"")</f>
        <v>0.3626185567010311</v>
      </c>
      <c r="C54" s="39">
        <f>IFERROR(C52/C40,"")</f>
        <v>0.41945827751567749</v>
      </c>
      <c r="D54" s="39">
        <f>IF(C36&gt;0,IFERROR(D52/C40,""),"")</f>
        <v>0.41945827751567749</v>
      </c>
    </row>
    <row r="55" spans="1:6" x14ac:dyDescent="0.25">
      <c r="A55" s="42" t="s">
        <v>18</v>
      </c>
      <c r="B55" s="47" t="str">
        <f>IF(ISNUMBER(B52),IF(D52&gt;B52*(1+Assumptions!$B$24),"OM EXPENSES LIGHT","OM expenses reasonable"),"OM expenses not published")</f>
        <v>OM EXPENSES LIGHT</v>
      </c>
    </row>
    <row r="57" spans="1:6" x14ac:dyDescent="0.25">
      <c r="A57" s="34" t="s">
        <v>338</v>
      </c>
      <c r="B57" s="35"/>
      <c r="C57" s="35"/>
      <c r="D57" s="35"/>
      <c r="E57" s="35"/>
      <c r="F57" s="35"/>
    </row>
    <row r="58" spans="1:6" x14ac:dyDescent="0.25">
      <c r="A58" s="45"/>
      <c r="B58" s="45" t="s">
        <v>305</v>
      </c>
      <c r="C58" s="45" t="s">
        <v>306</v>
      </c>
      <c r="D58" s="45"/>
      <c r="E58" s="45"/>
      <c r="F58" s="45" t="s">
        <v>307</v>
      </c>
    </row>
    <row r="59" spans="1:6" x14ac:dyDescent="0.25">
      <c r="A59" s="42" t="s">
        <v>339</v>
      </c>
      <c r="B59" s="44">
        <f>B40-B52</f>
        <v>189810</v>
      </c>
      <c r="C59" s="44">
        <f>IF(C36&gt;0,C40-D52,"")</f>
        <v>172235.304</v>
      </c>
    </row>
    <row r="60" spans="1:6" x14ac:dyDescent="0.25">
      <c r="A60" s="42" t="s">
        <v>340</v>
      </c>
      <c r="B60" s="39">
        <f>IFERROR(B59/B22,"")</f>
        <v>3.7999999999999999E-2</v>
      </c>
      <c r="C60" s="39">
        <f>IF(C59="","",IFERROR(C59/B22,""))</f>
        <v>3.4481542342342346E-2</v>
      </c>
      <c r="F60" s="26" t="s">
        <v>341</v>
      </c>
    </row>
    <row r="61" spans="1:6" x14ac:dyDescent="0.25">
      <c r="A61" t="s">
        <v>342</v>
      </c>
      <c r="B61" s="40">
        <f>IFERROR(B22/B36,"")</f>
        <v>16.269999999999996</v>
      </c>
      <c r="C61" s="40">
        <f>IF(C36&gt;0,IFERROR(B22/C36,""),"")</f>
        <v>16.331214689265536</v>
      </c>
    </row>
    <row r="62" spans="1:6" x14ac:dyDescent="0.25">
      <c r="A62" t="s">
        <v>343</v>
      </c>
      <c r="B62" s="31">
        <f>IFERROR(B59/B7,"")</f>
        <v>18981</v>
      </c>
      <c r="C62" s="31">
        <f>IF(C59="","",IFERROR(C59/B7,""))</f>
        <v>17223.5304</v>
      </c>
    </row>
    <row r="64" spans="1:6" x14ac:dyDescent="0.25">
      <c r="A64" s="34" t="s">
        <v>344</v>
      </c>
      <c r="B64" s="35"/>
      <c r="C64" s="35"/>
      <c r="D64" s="35"/>
      <c r="E64" s="35"/>
      <c r="F64" s="35"/>
    </row>
    <row r="65" spans="1:2" x14ac:dyDescent="0.25">
      <c r="A65" t="s">
        <v>345</v>
      </c>
      <c r="B65" s="31">
        <f>IFERROR(B22*Assumptions!$B$20,"")</f>
        <v>2997000</v>
      </c>
    </row>
    <row r="66" spans="1:2" x14ac:dyDescent="0.25">
      <c r="A66" t="s">
        <v>346</v>
      </c>
      <c r="B66" s="31">
        <f>IF(C59="","",IFERROR(PV(Assumptions!$B$22/12,Assumptions!$B$23*12,-C59/Assumptions!$B$21/12),""))</f>
        <v>1864874.5872371758</v>
      </c>
    </row>
    <row r="67" spans="1:2" x14ac:dyDescent="0.25">
      <c r="A67" s="42" t="s">
        <v>347</v>
      </c>
      <c r="B67" s="31">
        <f>IFERROR(MIN(B65,B66),"")</f>
        <v>1864874.5872371758</v>
      </c>
    </row>
    <row r="68" spans="1:2" x14ac:dyDescent="0.25">
      <c r="A68" t="s">
        <v>348</v>
      </c>
      <c r="B68" s="31">
        <f>IFERROR(B22-B67,"")</f>
        <v>3130125.4127628244</v>
      </c>
    </row>
    <row r="69" spans="1:2" x14ac:dyDescent="0.25">
      <c r="A69" t="s">
        <v>349</v>
      </c>
      <c r="B69" s="31">
        <f>IFERROR(-PMT(Assumptions!$B$22/12,Assumptions!$B$23*12,B67)*12,"")</f>
        <v>137788.24319999959</v>
      </c>
    </row>
    <row r="70" spans="1:2" x14ac:dyDescent="0.25">
      <c r="A70" t="s">
        <v>350</v>
      </c>
      <c r="B70" s="40">
        <f>IFERROR(C59/B69,"")</f>
        <v>1.2500000000000038</v>
      </c>
    </row>
    <row r="71" spans="1:2" x14ac:dyDescent="0.25">
      <c r="A71" t="s">
        <v>351</v>
      </c>
      <c r="B71" s="31">
        <f>IFERROR(C59-B69,"")</f>
        <v>34447.060800000414</v>
      </c>
    </row>
    <row r="72" spans="1:2" x14ac:dyDescent="0.25">
      <c r="A72" t="s">
        <v>352</v>
      </c>
      <c r="B72" s="39">
        <f>IFERROR(B71/B68,"")</f>
        <v>1.100500978636364E-2</v>
      </c>
    </row>
    <row r="74" spans="1:2" x14ac:dyDescent="0.25">
      <c r="A74" s="26" t="s">
        <v>353</v>
      </c>
    </row>
  </sheetData>
  <hyperlinks>
    <hyperlink ref="A3" r:id="rId1" xr:uid="{00000000-0004-0000-2000-000000000000}"/>
  </hyperlinks>
  <pageMargins left="0.75" right="0.75" top="1" bottom="1" header="0.5" footer="0.5"/>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F75"/>
  <sheetViews>
    <sheetView showGridLines="0" workbookViewId="0">
      <pane ySplit="5" topLeftCell="A6" activePane="bottomLeft" state="frozen"/>
      <selection pane="bottomLeft"/>
    </sheetView>
  </sheetViews>
  <sheetFormatPr defaultRowHeight="15" x14ac:dyDescent="0.25"/>
  <cols>
    <col min="1" max="1" width="38" customWidth="1"/>
    <col min="2" max="5" width="16" customWidth="1"/>
    <col min="6" max="6" width="48" customWidth="1"/>
    <col min="7" max="7" width="12" customWidth="1"/>
  </cols>
  <sheetData>
    <row r="1" spans="1:3" ht="19.5" x14ac:dyDescent="0.3">
      <c r="A1" s="1" t="s">
        <v>179</v>
      </c>
    </row>
    <row r="2" spans="1:3" x14ac:dyDescent="0.25">
      <c r="A2" s="32" t="s">
        <v>463</v>
      </c>
    </row>
    <row r="3" spans="1:3" x14ac:dyDescent="0.25">
      <c r="A3" s="33" t="s">
        <v>271</v>
      </c>
      <c r="B3" s="26" t="s">
        <v>272</v>
      </c>
    </row>
    <row r="4" spans="1:3" x14ac:dyDescent="0.25">
      <c r="A4" s="47" t="s">
        <v>464</v>
      </c>
    </row>
    <row r="6" spans="1:3" x14ac:dyDescent="0.25">
      <c r="A6" s="34" t="s">
        <v>273</v>
      </c>
      <c r="B6" s="35"/>
      <c r="C6" s="35"/>
    </row>
    <row r="7" spans="1:3" x14ac:dyDescent="0.25">
      <c r="A7" t="s">
        <v>7</v>
      </c>
      <c r="B7" s="36">
        <v>14</v>
      </c>
    </row>
    <row r="8" spans="1:3" x14ac:dyDescent="0.25">
      <c r="A8" t="s">
        <v>274</v>
      </c>
      <c r="B8" s="36">
        <v>11295</v>
      </c>
    </row>
    <row r="9" spans="1:3" x14ac:dyDescent="0.25">
      <c r="A9" t="s">
        <v>10</v>
      </c>
      <c r="B9" s="36">
        <v>15246</v>
      </c>
    </row>
    <row r="10" spans="1:3" x14ac:dyDescent="0.25">
      <c r="A10" t="s">
        <v>275</v>
      </c>
      <c r="B10" s="37">
        <v>0.35</v>
      </c>
    </row>
    <row r="11" spans="1:3" x14ac:dyDescent="0.25">
      <c r="A11" t="s">
        <v>8</v>
      </c>
      <c r="B11">
        <v>1941</v>
      </c>
    </row>
    <row r="12" spans="1:3" x14ac:dyDescent="0.25">
      <c r="A12" t="s">
        <v>276</v>
      </c>
      <c r="B12" t="s">
        <v>355</v>
      </c>
    </row>
    <row r="13" spans="1:3" x14ac:dyDescent="0.25">
      <c r="A13" t="s">
        <v>278</v>
      </c>
      <c r="B13" t="s">
        <v>465</v>
      </c>
    </row>
    <row r="14" spans="1:3" x14ac:dyDescent="0.25">
      <c r="A14" t="s">
        <v>280</v>
      </c>
      <c r="B14" t="s">
        <v>182</v>
      </c>
    </row>
    <row r="15" spans="1:3" x14ac:dyDescent="0.25">
      <c r="A15" t="s">
        <v>281</v>
      </c>
      <c r="B15" t="s">
        <v>361</v>
      </c>
    </row>
    <row r="16" spans="1:3" x14ac:dyDescent="0.25">
      <c r="A16" t="s">
        <v>283</v>
      </c>
      <c r="B16" s="31">
        <v>7120705</v>
      </c>
    </row>
    <row r="17" spans="1:6" x14ac:dyDescent="0.25">
      <c r="A17" t="s">
        <v>284</v>
      </c>
      <c r="B17" t="s">
        <v>183</v>
      </c>
    </row>
    <row r="18" spans="1:6" x14ac:dyDescent="0.25">
      <c r="A18" t="s">
        <v>285</v>
      </c>
      <c r="B18" t="s">
        <v>184</v>
      </c>
    </row>
    <row r="19" spans="1:6" x14ac:dyDescent="0.25">
      <c r="A19" t="s">
        <v>286</v>
      </c>
      <c r="B19" t="s">
        <v>185</v>
      </c>
    </row>
    <row r="21" spans="1:6" x14ac:dyDescent="0.25">
      <c r="A21" s="34" t="s">
        <v>287</v>
      </c>
      <c r="B21" s="35"/>
      <c r="C21" s="35"/>
    </row>
    <row r="22" spans="1:6" x14ac:dyDescent="0.25">
      <c r="A22" t="s">
        <v>11</v>
      </c>
      <c r="B22" s="28">
        <v>8200000</v>
      </c>
    </row>
    <row r="23" spans="1:6" x14ac:dyDescent="0.25">
      <c r="A23" t="s">
        <v>288</v>
      </c>
      <c r="B23" s="31">
        <f>IFERROR(B22/B7,"")</f>
        <v>585714.28571428568</v>
      </c>
    </row>
    <row r="24" spans="1:6" x14ac:dyDescent="0.25">
      <c r="A24" t="s">
        <v>289</v>
      </c>
      <c r="B24" s="38">
        <f>IFERROR(B22/B8,"")</f>
        <v>725.98494909251883</v>
      </c>
    </row>
    <row r="25" spans="1:6" x14ac:dyDescent="0.25">
      <c r="A25" t="s">
        <v>290</v>
      </c>
      <c r="B25" s="39">
        <v>3.1199999999999999E-2</v>
      </c>
    </row>
    <row r="26" spans="1:6" x14ac:dyDescent="0.25">
      <c r="A26" t="s">
        <v>291</v>
      </c>
      <c r="B26" s="40"/>
    </row>
    <row r="28" spans="1:6" x14ac:dyDescent="0.25">
      <c r="A28" s="34" t="s">
        <v>292</v>
      </c>
      <c r="B28" s="35"/>
      <c r="C28" s="35"/>
      <c r="D28" s="35"/>
      <c r="E28" s="35"/>
      <c r="F28" s="35"/>
    </row>
    <row r="29" spans="1:6" x14ac:dyDescent="0.25">
      <c r="A29" s="41" t="s">
        <v>293</v>
      </c>
      <c r="B29" s="41" t="s">
        <v>294</v>
      </c>
      <c r="C29" s="41" t="s">
        <v>295</v>
      </c>
      <c r="D29" s="41" t="s">
        <v>296</v>
      </c>
      <c r="E29" s="41" t="s">
        <v>297</v>
      </c>
      <c r="F29" s="41" t="s">
        <v>298</v>
      </c>
    </row>
    <row r="30" spans="1:6" x14ac:dyDescent="0.25">
      <c r="A30" t="s">
        <v>257</v>
      </c>
      <c r="B30" s="36">
        <v>6</v>
      </c>
      <c r="C30" s="28">
        <v>2100</v>
      </c>
      <c r="D30" s="31">
        <f>B30*C30</f>
        <v>12600</v>
      </c>
      <c r="E30" s="31">
        <f>D30*12</f>
        <v>151200</v>
      </c>
      <c r="F30" s="26" t="s">
        <v>38</v>
      </c>
    </row>
    <row r="31" spans="1:6" x14ac:dyDescent="0.25">
      <c r="A31" t="s">
        <v>302</v>
      </c>
      <c r="B31" s="36">
        <v>7</v>
      </c>
      <c r="C31" s="28">
        <v>3650</v>
      </c>
      <c r="D31" s="31">
        <f>B31*C31</f>
        <v>25550</v>
      </c>
      <c r="E31" s="31">
        <f>D31*12</f>
        <v>306600</v>
      </c>
      <c r="F31" s="26" t="s">
        <v>38</v>
      </c>
    </row>
    <row r="32" spans="1:6" x14ac:dyDescent="0.25">
      <c r="A32" t="s">
        <v>299</v>
      </c>
      <c r="B32" s="36">
        <v>1</v>
      </c>
      <c r="C32" s="28">
        <v>6500</v>
      </c>
      <c r="D32" s="31">
        <f>B32*C32</f>
        <v>6500</v>
      </c>
      <c r="E32" s="31">
        <f>D32*12</f>
        <v>78000</v>
      </c>
      <c r="F32" s="26" t="s">
        <v>38</v>
      </c>
    </row>
    <row r="33" spans="1:6" x14ac:dyDescent="0.25">
      <c r="A33" s="42" t="s">
        <v>303</v>
      </c>
      <c r="B33" s="43">
        <f>SUM(B30:B32)</f>
        <v>14</v>
      </c>
      <c r="C33" s="44">
        <f>IFERROR(D33/B33,"")</f>
        <v>3189.2857142857142</v>
      </c>
      <c r="D33" s="44">
        <f>SUM(D30:D32)</f>
        <v>44650</v>
      </c>
      <c r="E33" s="44">
        <f>SUM(E30:E32)</f>
        <v>535800</v>
      </c>
    </row>
    <row r="35" spans="1:6" x14ac:dyDescent="0.25">
      <c r="A35" s="34" t="s">
        <v>304</v>
      </c>
      <c r="B35" s="35"/>
      <c r="C35" s="35"/>
      <c r="D35" s="35"/>
      <c r="E35" s="35"/>
      <c r="F35" s="35"/>
    </row>
    <row r="36" spans="1:6" x14ac:dyDescent="0.25">
      <c r="A36" s="45"/>
      <c r="B36" s="45" t="s">
        <v>305</v>
      </c>
      <c r="C36" s="45" t="s">
        <v>306</v>
      </c>
      <c r="D36" s="45"/>
      <c r="E36" s="45"/>
      <c r="F36" s="45" t="s">
        <v>307</v>
      </c>
    </row>
    <row r="37" spans="1:6" x14ac:dyDescent="0.25">
      <c r="A37" t="s">
        <v>308</v>
      </c>
      <c r="B37" s="31"/>
      <c r="C37" s="31">
        <f>E33</f>
        <v>535800</v>
      </c>
      <c r="F37" s="26" t="s">
        <v>411</v>
      </c>
    </row>
    <row r="38" spans="1:6" x14ac:dyDescent="0.25">
      <c r="A38" t="s">
        <v>310</v>
      </c>
      <c r="B38" s="31">
        <v>0</v>
      </c>
      <c r="C38" s="28">
        <v>0</v>
      </c>
    </row>
    <row r="39" spans="1:6" x14ac:dyDescent="0.25">
      <c r="A39" s="42" t="s">
        <v>311</v>
      </c>
      <c r="B39" s="31">
        <f>B37+B38</f>
        <v>0</v>
      </c>
      <c r="C39" s="31">
        <f>C37+C38</f>
        <v>535800</v>
      </c>
    </row>
    <row r="40" spans="1:6" x14ac:dyDescent="0.25">
      <c r="A40" t="s">
        <v>312</v>
      </c>
      <c r="B40" s="31">
        <f>-B37*0.03</f>
        <v>0</v>
      </c>
      <c r="C40" s="31">
        <f>-C37*Assumptions!$B$3</f>
        <v>-16074</v>
      </c>
      <c r="F40" s="26" t="s">
        <v>313</v>
      </c>
    </row>
    <row r="41" spans="1:6" x14ac:dyDescent="0.25">
      <c r="A41" s="42" t="s">
        <v>314</v>
      </c>
      <c r="B41" s="44">
        <f>B39+B40</f>
        <v>0</v>
      </c>
      <c r="C41" s="44">
        <f>C39+C40</f>
        <v>519726</v>
      </c>
    </row>
    <row r="43" spans="1:6" x14ac:dyDescent="0.25">
      <c r="A43" s="34" t="s">
        <v>315</v>
      </c>
      <c r="B43" s="35"/>
      <c r="C43" s="35"/>
      <c r="D43" s="35"/>
      <c r="E43" s="35"/>
      <c r="F43" s="35"/>
    </row>
    <row r="44" spans="1:6" x14ac:dyDescent="0.25">
      <c r="A44" s="45" t="s">
        <v>316</v>
      </c>
      <c r="B44" s="45" t="s">
        <v>305</v>
      </c>
      <c r="C44" s="45" t="s">
        <v>317</v>
      </c>
      <c r="D44" s="45" t="s">
        <v>306</v>
      </c>
      <c r="E44" s="45" t="s">
        <v>318</v>
      </c>
      <c r="F44" s="45" t="s">
        <v>307</v>
      </c>
    </row>
    <row r="45" spans="1:6" x14ac:dyDescent="0.25">
      <c r="A45" t="s">
        <v>319</v>
      </c>
      <c r="B45" s="31"/>
      <c r="C45" s="31">
        <f>B22*Assumptions!$B$15</f>
        <v>102500</v>
      </c>
      <c r="D45" s="46">
        <f>C45</f>
        <v>102500</v>
      </c>
      <c r="E45" s="31" t="str">
        <f t="shared" ref="E45:E53" si="0">IF(ISNUMBER(B45),D45-B45,"")</f>
        <v/>
      </c>
      <c r="F45" s="26" t="s">
        <v>358</v>
      </c>
    </row>
    <row r="46" spans="1:6" x14ac:dyDescent="0.25">
      <c r="A46" t="s">
        <v>321</v>
      </c>
      <c r="B46" s="31"/>
      <c r="C46" s="31">
        <f>B7*Assumptions!$B$5+B8*Assumptions!$B$6</f>
        <v>14095</v>
      </c>
      <c r="D46" s="46">
        <f t="shared" ref="D46:D52" si="1">IF(ISNUMBER(B46),MAX(B46,C46),C46)</f>
        <v>14095</v>
      </c>
      <c r="E46" s="31" t="str">
        <f t="shared" si="0"/>
        <v/>
      </c>
      <c r="F46" s="26" t="s">
        <v>322</v>
      </c>
    </row>
    <row r="47" spans="1:6" x14ac:dyDescent="0.25">
      <c r="A47" t="s">
        <v>323</v>
      </c>
      <c r="B47" s="31"/>
      <c r="C47" s="31">
        <f>C41*Assumptions!$B$4</f>
        <v>25986.300000000003</v>
      </c>
      <c r="D47" s="46">
        <f t="shared" si="1"/>
        <v>25986.300000000003</v>
      </c>
      <c r="E47" s="31" t="str">
        <f t="shared" si="0"/>
        <v/>
      </c>
      <c r="F47" s="26" t="s">
        <v>324</v>
      </c>
    </row>
    <row r="48" spans="1:6" x14ac:dyDescent="0.25">
      <c r="A48" t="s">
        <v>325</v>
      </c>
      <c r="B48" s="31"/>
      <c r="C48" s="31">
        <f>B7*Assumptions!$B$7</f>
        <v>16800</v>
      </c>
      <c r="D48" s="46">
        <f t="shared" si="1"/>
        <v>16800</v>
      </c>
      <c r="E48" s="31" t="str">
        <f t="shared" si="0"/>
        <v/>
      </c>
      <c r="F48" s="26" t="s">
        <v>326</v>
      </c>
    </row>
    <row r="49" spans="1:6" x14ac:dyDescent="0.25">
      <c r="A49" t="s">
        <v>327</v>
      </c>
      <c r="B49" s="31"/>
      <c r="C49" s="31">
        <f>B7*Assumptions!$B$9</f>
        <v>21000</v>
      </c>
      <c r="D49" s="46">
        <f t="shared" si="1"/>
        <v>21000</v>
      </c>
      <c r="E49" s="31" t="str">
        <f t="shared" si="0"/>
        <v/>
      </c>
      <c r="F49" s="26" t="s">
        <v>328</v>
      </c>
    </row>
    <row r="50" spans="1:6" x14ac:dyDescent="0.25">
      <c r="A50" t="s">
        <v>329</v>
      </c>
      <c r="B50" s="31"/>
      <c r="C50" s="31">
        <f>B7*Assumptions!$B$12</f>
        <v>5600</v>
      </c>
      <c r="D50" s="46">
        <f t="shared" si="1"/>
        <v>5600</v>
      </c>
      <c r="E50" s="31" t="str">
        <f t="shared" si="0"/>
        <v/>
      </c>
      <c r="F50" s="26" t="s">
        <v>330</v>
      </c>
    </row>
    <row r="51" spans="1:6" x14ac:dyDescent="0.25">
      <c r="A51" t="s">
        <v>331</v>
      </c>
      <c r="B51" s="31"/>
      <c r="C51" s="31">
        <f>B7*Assumptions!$B$13</f>
        <v>3500</v>
      </c>
      <c r="D51" s="46">
        <f t="shared" si="1"/>
        <v>3500</v>
      </c>
      <c r="E51" s="31" t="str">
        <f t="shared" si="0"/>
        <v/>
      </c>
      <c r="F51" s="26" t="s">
        <v>332</v>
      </c>
    </row>
    <row r="52" spans="1:6" x14ac:dyDescent="0.25">
      <c r="A52" t="s">
        <v>333</v>
      </c>
      <c r="B52" s="31"/>
      <c r="C52" s="31">
        <f>B7*Assumptions!$B$14</f>
        <v>4200</v>
      </c>
      <c r="D52" s="46">
        <f t="shared" si="1"/>
        <v>4200</v>
      </c>
      <c r="E52" s="31" t="str">
        <f t="shared" si="0"/>
        <v/>
      </c>
      <c r="F52" s="26" t="s">
        <v>330</v>
      </c>
    </row>
    <row r="53" spans="1:6" x14ac:dyDescent="0.25">
      <c r="A53" s="42" t="s">
        <v>334</v>
      </c>
      <c r="B53" s="42"/>
      <c r="C53" s="44">
        <f>SUM(C45:C52)</f>
        <v>193681.3</v>
      </c>
      <c r="D53" s="44">
        <f>SUM(D45:D52)</f>
        <v>193681.3</v>
      </c>
      <c r="E53" s="44" t="str">
        <f t="shared" si="0"/>
        <v/>
      </c>
      <c r="F53" s="26" t="s">
        <v>413</v>
      </c>
    </row>
    <row r="54" spans="1:6" x14ac:dyDescent="0.25">
      <c r="A54" t="s">
        <v>336</v>
      </c>
      <c r="B54" s="31">
        <f>IFERROR(B53/B7,"")</f>
        <v>0</v>
      </c>
      <c r="C54" s="31">
        <f>IFERROR(C53/B7,"")</f>
        <v>13834.378571428571</v>
      </c>
      <c r="D54" s="31">
        <f>IFERROR(D53/B7,"")</f>
        <v>13834.378571428571</v>
      </c>
    </row>
    <row r="55" spans="1:6" x14ac:dyDescent="0.25">
      <c r="A55" t="s">
        <v>337</v>
      </c>
      <c r="B55" s="39" t="str">
        <f>IFERROR(B53/B41,"")</f>
        <v/>
      </c>
      <c r="C55" s="39">
        <f>IFERROR(C53/C41,"")</f>
        <v>0.37266040182711657</v>
      </c>
      <c r="D55" s="39">
        <f>IF(C37&gt;0,IFERROR(D53/C41,""),"")</f>
        <v>0.37266040182711657</v>
      </c>
    </row>
    <row r="56" spans="1:6" x14ac:dyDescent="0.25">
      <c r="A56" s="42" t="s">
        <v>18</v>
      </c>
      <c r="B56" s="47" t="str">
        <f>IF(ISNUMBER(B53),IF(D53&gt;B53*(1+Assumptions!$B$24),"OM EXPENSES LIGHT","OM expenses reasonable"),"OM expenses not published")</f>
        <v>OM expenses not published</v>
      </c>
    </row>
    <row r="58" spans="1:6" x14ac:dyDescent="0.25">
      <c r="A58" s="34" t="s">
        <v>338</v>
      </c>
      <c r="B58" s="35"/>
      <c r="C58" s="35"/>
      <c r="D58" s="35"/>
      <c r="E58" s="35"/>
      <c r="F58" s="35"/>
    </row>
    <row r="59" spans="1:6" x14ac:dyDescent="0.25">
      <c r="A59" s="45"/>
      <c r="B59" s="45" t="s">
        <v>305</v>
      </c>
      <c r="C59" s="45" t="s">
        <v>306</v>
      </c>
      <c r="D59" s="45"/>
      <c r="E59" s="45"/>
      <c r="F59" s="45" t="s">
        <v>307</v>
      </c>
    </row>
    <row r="60" spans="1:6" x14ac:dyDescent="0.25">
      <c r="A60" s="42" t="s">
        <v>339</v>
      </c>
      <c r="B60" s="44">
        <f>B22*B25</f>
        <v>255840</v>
      </c>
      <c r="C60" s="44">
        <f>IF(C37&gt;0,C41-D53,"")</f>
        <v>326044.7</v>
      </c>
      <c r="F60" s="26" t="s">
        <v>414</v>
      </c>
    </row>
    <row r="61" spans="1:6" x14ac:dyDescent="0.25">
      <c r="A61" s="42" t="s">
        <v>340</v>
      </c>
      <c r="B61" s="39">
        <f>IFERROR(B60/B22,"")</f>
        <v>3.1199999999999999E-2</v>
      </c>
      <c r="C61" s="39">
        <f>IF(C60="","",IFERROR(C60/B22,""))</f>
        <v>3.9761548780487807E-2</v>
      </c>
      <c r="F61" s="26" t="s">
        <v>341</v>
      </c>
    </row>
    <row r="62" spans="1:6" x14ac:dyDescent="0.25">
      <c r="A62" t="s">
        <v>342</v>
      </c>
      <c r="B62" s="40" t="str">
        <f>IFERROR(B22/B37,"")</f>
        <v/>
      </c>
      <c r="C62" s="40">
        <f>IF(C37&gt;0,IFERROR(B22/C37,""),"")</f>
        <v>15.304217991787981</v>
      </c>
    </row>
    <row r="63" spans="1:6" x14ac:dyDescent="0.25">
      <c r="A63" t="s">
        <v>343</v>
      </c>
      <c r="B63" s="31">
        <f>IFERROR(B60/B7,"")</f>
        <v>18274.285714285714</v>
      </c>
      <c r="C63" s="31">
        <f>IF(C60="","",IFERROR(C60/B7,""))</f>
        <v>23288.907142857144</v>
      </c>
    </row>
    <row r="65" spans="1:6" x14ac:dyDescent="0.25">
      <c r="A65" s="34" t="s">
        <v>344</v>
      </c>
      <c r="B65" s="35"/>
      <c r="C65" s="35"/>
      <c r="D65" s="35"/>
      <c r="E65" s="35"/>
      <c r="F65" s="35"/>
    </row>
    <row r="66" spans="1:6" x14ac:dyDescent="0.25">
      <c r="A66" t="s">
        <v>345</v>
      </c>
      <c r="B66" s="31">
        <f>IFERROR(B22*Assumptions!$B$20,"")</f>
        <v>4920000</v>
      </c>
    </row>
    <row r="67" spans="1:6" x14ac:dyDescent="0.25">
      <c r="A67" t="s">
        <v>346</v>
      </c>
      <c r="B67" s="31">
        <f>IF(C60="","",IFERROR(PV(Assumptions!$B$22/12,Assumptions!$B$23*12,-C60/Assumptions!$B$21/12),""))</f>
        <v>3530242.9943942782</v>
      </c>
    </row>
    <row r="68" spans="1:6" x14ac:dyDescent="0.25">
      <c r="A68" s="42" t="s">
        <v>347</v>
      </c>
      <c r="B68" s="31">
        <f>IFERROR(MIN(B66,B67),"")</f>
        <v>3530242.9943942782</v>
      </c>
    </row>
    <row r="69" spans="1:6" x14ac:dyDescent="0.25">
      <c r="A69" t="s">
        <v>348</v>
      </c>
      <c r="B69" s="31">
        <f>IFERROR(B22-B68,"")</f>
        <v>4669757.0056057218</v>
      </c>
    </row>
    <row r="70" spans="1:6" x14ac:dyDescent="0.25">
      <c r="A70" t="s">
        <v>349</v>
      </c>
      <c r="B70" s="31">
        <f>IFERROR(-PMT(Assumptions!$B$22/12,Assumptions!$B$23*12,B68)*12,"")</f>
        <v>260835.75999999919</v>
      </c>
    </row>
    <row r="71" spans="1:6" x14ac:dyDescent="0.25">
      <c r="A71" t="s">
        <v>350</v>
      </c>
      <c r="B71" s="40">
        <f>IFERROR(C60/B70,"")</f>
        <v>1.250000000000004</v>
      </c>
    </row>
    <row r="72" spans="1:6" x14ac:dyDescent="0.25">
      <c r="A72" t="s">
        <v>351</v>
      </c>
      <c r="B72" s="31">
        <f>IFERROR(C60-B70,"")</f>
        <v>65208.940000000817</v>
      </c>
    </row>
    <row r="73" spans="1:6" x14ac:dyDescent="0.25">
      <c r="A73" t="s">
        <v>352</v>
      </c>
      <c r="B73" s="39">
        <f>IFERROR(B72/B69,"")</f>
        <v>1.3964097044390528E-2</v>
      </c>
    </row>
    <row r="75" spans="1:6" x14ac:dyDescent="0.25">
      <c r="A75" s="26" t="s">
        <v>353</v>
      </c>
    </row>
  </sheetData>
  <hyperlinks>
    <hyperlink ref="A3" r:id="rId1" xr:uid="{00000000-0004-0000-2100-000000000000}"/>
  </hyperlinks>
  <pageMargins left="0.75" right="0.75" top="1" bottom="1" header="0.5" footer="0.5"/>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F74"/>
  <sheetViews>
    <sheetView showGridLines="0" workbookViewId="0">
      <pane ySplit="5" topLeftCell="A6" activePane="bottomLeft" state="frozen"/>
      <selection pane="bottomLeft"/>
    </sheetView>
  </sheetViews>
  <sheetFormatPr defaultRowHeight="15" x14ac:dyDescent="0.25"/>
  <cols>
    <col min="1" max="1" width="38" customWidth="1"/>
    <col min="2" max="5" width="16" customWidth="1"/>
    <col min="6" max="6" width="48" customWidth="1"/>
    <col min="7" max="7" width="12" customWidth="1"/>
  </cols>
  <sheetData>
    <row r="1" spans="1:3" ht="19.5" x14ac:dyDescent="0.3">
      <c r="A1" s="1" t="s">
        <v>187</v>
      </c>
    </row>
    <row r="2" spans="1:3" x14ac:dyDescent="0.25">
      <c r="A2" s="32" t="s">
        <v>354</v>
      </c>
    </row>
    <row r="3" spans="1:3" x14ac:dyDescent="0.25">
      <c r="A3" s="33" t="s">
        <v>271</v>
      </c>
      <c r="B3" s="26" t="s">
        <v>272</v>
      </c>
    </row>
    <row r="4" spans="1:3" x14ac:dyDescent="0.25">
      <c r="A4" s="47" t="s">
        <v>466</v>
      </c>
    </row>
    <row r="6" spans="1:3" x14ac:dyDescent="0.25">
      <c r="A6" s="34" t="s">
        <v>273</v>
      </c>
      <c r="B6" s="35"/>
      <c r="C6" s="35"/>
    </row>
    <row r="7" spans="1:3" x14ac:dyDescent="0.25">
      <c r="A7" t="s">
        <v>7</v>
      </c>
      <c r="B7" s="36">
        <v>21</v>
      </c>
    </row>
    <row r="8" spans="1:3" x14ac:dyDescent="0.25">
      <c r="A8" t="s">
        <v>274</v>
      </c>
      <c r="B8" s="36">
        <v>7674</v>
      </c>
    </row>
    <row r="9" spans="1:3" x14ac:dyDescent="0.25">
      <c r="A9" t="s">
        <v>10</v>
      </c>
      <c r="B9" s="36">
        <v>5227</v>
      </c>
    </row>
    <row r="10" spans="1:3" x14ac:dyDescent="0.25">
      <c r="A10" t="s">
        <v>275</v>
      </c>
      <c r="B10" s="37">
        <v>0.12</v>
      </c>
    </row>
    <row r="11" spans="1:3" x14ac:dyDescent="0.25">
      <c r="A11" t="s">
        <v>8</v>
      </c>
      <c r="B11">
        <v>1920</v>
      </c>
    </row>
    <row r="12" spans="1:3" x14ac:dyDescent="0.25">
      <c r="A12" t="s">
        <v>276</v>
      </c>
      <c r="B12" t="s">
        <v>367</v>
      </c>
    </row>
    <row r="13" spans="1:3" x14ac:dyDescent="0.25">
      <c r="A13" t="s">
        <v>278</v>
      </c>
      <c r="B13" t="s">
        <v>467</v>
      </c>
    </row>
    <row r="14" spans="1:3" x14ac:dyDescent="0.25">
      <c r="A14" t="s">
        <v>280</v>
      </c>
      <c r="B14" t="s">
        <v>90</v>
      </c>
    </row>
    <row r="15" spans="1:3" x14ac:dyDescent="0.25">
      <c r="A15" t="s">
        <v>281</v>
      </c>
      <c r="B15" t="s">
        <v>361</v>
      </c>
    </row>
    <row r="16" spans="1:3" x14ac:dyDescent="0.25">
      <c r="A16" t="s">
        <v>283</v>
      </c>
      <c r="B16" s="31">
        <v>2243966</v>
      </c>
    </row>
    <row r="17" spans="1:6" x14ac:dyDescent="0.25">
      <c r="A17" t="s">
        <v>284</v>
      </c>
      <c r="B17" t="s">
        <v>111</v>
      </c>
    </row>
    <row r="18" spans="1:6" x14ac:dyDescent="0.25">
      <c r="A18" t="s">
        <v>285</v>
      </c>
      <c r="B18" t="s">
        <v>188</v>
      </c>
    </row>
    <row r="19" spans="1:6" x14ac:dyDescent="0.25">
      <c r="A19" t="s">
        <v>286</v>
      </c>
      <c r="B19" t="s">
        <v>113</v>
      </c>
    </row>
    <row r="21" spans="1:6" x14ac:dyDescent="0.25">
      <c r="A21" s="34" t="s">
        <v>287</v>
      </c>
      <c r="B21" s="35"/>
      <c r="C21" s="35"/>
    </row>
    <row r="22" spans="1:6" x14ac:dyDescent="0.25">
      <c r="A22" t="s">
        <v>11</v>
      </c>
      <c r="B22" s="28">
        <v>4300000</v>
      </c>
    </row>
    <row r="23" spans="1:6" x14ac:dyDescent="0.25">
      <c r="A23" t="s">
        <v>288</v>
      </c>
      <c r="B23" s="31">
        <f>IFERROR(B22/B7,"")</f>
        <v>204761.90476190476</v>
      </c>
    </row>
    <row r="24" spans="1:6" x14ac:dyDescent="0.25">
      <c r="A24" t="s">
        <v>289</v>
      </c>
      <c r="B24" s="38">
        <f>IFERROR(B22/B8,"")</f>
        <v>560.33359395360958</v>
      </c>
    </row>
    <row r="25" spans="1:6" x14ac:dyDescent="0.25">
      <c r="A25" t="s">
        <v>290</v>
      </c>
      <c r="B25" s="39"/>
    </row>
    <row r="26" spans="1:6" x14ac:dyDescent="0.25">
      <c r="A26" t="s">
        <v>291</v>
      </c>
      <c r="B26" s="40"/>
    </row>
    <row r="28" spans="1:6" x14ac:dyDescent="0.25">
      <c r="A28" s="34" t="s">
        <v>292</v>
      </c>
      <c r="B28" s="35"/>
      <c r="C28" s="35"/>
      <c r="D28" s="35"/>
      <c r="E28" s="35"/>
      <c r="F28" s="35"/>
    </row>
    <row r="29" spans="1:6" x14ac:dyDescent="0.25">
      <c r="A29" s="41" t="s">
        <v>293</v>
      </c>
      <c r="B29" s="41" t="s">
        <v>294</v>
      </c>
      <c r="C29" s="41" t="s">
        <v>295</v>
      </c>
      <c r="D29" s="41" t="s">
        <v>296</v>
      </c>
      <c r="E29" s="41" t="s">
        <v>297</v>
      </c>
      <c r="F29" s="41" t="s">
        <v>298</v>
      </c>
    </row>
    <row r="30" spans="1:6" x14ac:dyDescent="0.25">
      <c r="A30" t="s">
        <v>468</v>
      </c>
      <c r="B30" s="36">
        <v>13</v>
      </c>
      <c r="C30" s="49">
        <v>1900</v>
      </c>
      <c r="D30" s="31">
        <f>B30*C30</f>
        <v>24700</v>
      </c>
      <c r="E30" s="31">
        <f>D30*12</f>
        <v>296400</v>
      </c>
      <c r="F30" s="26" t="s">
        <v>408</v>
      </c>
    </row>
    <row r="31" spans="1:6" x14ac:dyDescent="0.25">
      <c r="A31" t="s">
        <v>469</v>
      </c>
      <c r="B31" s="36">
        <v>8</v>
      </c>
      <c r="C31" s="49">
        <v>2400</v>
      </c>
      <c r="D31" s="31">
        <f>B31*C31</f>
        <v>19200</v>
      </c>
      <c r="E31" s="31">
        <f>D31*12</f>
        <v>230400</v>
      </c>
      <c r="F31" s="26" t="s">
        <v>408</v>
      </c>
    </row>
    <row r="32" spans="1:6" x14ac:dyDescent="0.25">
      <c r="A32" s="42" t="s">
        <v>303</v>
      </c>
      <c r="B32" s="43">
        <f>SUM(B30:B31)</f>
        <v>21</v>
      </c>
      <c r="C32" s="44">
        <f>IFERROR(D32/B32,"")</f>
        <v>2090.4761904761904</v>
      </c>
      <c r="D32" s="44">
        <f>SUM(D30:D31)</f>
        <v>43900</v>
      </c>
      <c r="E32" s="44">
        <f>SUM(E30:E31)</f>
        <v>526800</v>
      </c>
    </row>
    <row r="34" spans="1:6" x14ac:dyDescent="0.25">
      <c r="A34" s="34" t="s">
        <v>304</v>
      </c>
      <c r="B34" s="35"/>
      <c r="C34" s="35"/>
      <c r="D34" s="35"/>
      <c r="E34" s="35"/>
      <c r="F34" s="35"/>
    </row>
    <row r="35" spans="1:6" x14ac:dyDescent="0.25">
      <c r="A35" s="45"/>
      <c r="B35" s="45" t="s">
        <v>305</v>
      </c>
      <c r="C35" s="45" t="s">
        <v>306</v>
      </c>
      <c r="D35" s="45"/>
      <c r="E35" s="45"/>
      <c r="F35" s="45" t="s">
        <v>307</v>
      </c>
    </row>
    <row r="36" spans="1:6" x14ac:dyDescent="0.25">
      <c r="A36" t="s">
        <v>308</v>
      </c>
      <c r="B36" s="31"/>
      <c r="C36" s="31">
        <f>E32</f>
        <v>526800</v>
      </c>
      <c r="F36" s="26" t="s">
        <v>411</v>
      </c>
    </row>
    <row r="37" spans="1:6" x14ac:dyDescent="0.25">
      <c r="A37" t="s">
        <v>310</v>
      </c>
      <c r="B37" s="31">
        <v>0</v>
      </c>
      <c r="C37" s="28">
        <v>0</v>
      </c>
    </row>
    <row r="38" spans="1:6" x14ac:dyDescent="0.25">
      <c r="A38" s="42" t="s">
        <v>311</v>
      </c>
      <c r="B38" s="31">
        <f>B36+B37</f>
        <v>0</v>
      </c>
      <c r="C38" s="31">
        <f>C36+C37</f>
        <v>526800</v>
      </c>
    </row>
    <row r="39" spans="1:6" x14ac:dyDescent="0.25">
      <c r="A39" t="s">
        <v>312</v>
      </c>
      <c r="B39" s="31">
        <f>-B36*0.03</f>
        <v>0</v>
      </c>
      <c r="C39" s="31">
        <f>-C36*Assumptions!$B$3</f>
        <v>-15804</v>
      </c>
      <c r="F39" s="26" t="s">
        <v>313</v>
      </c>
    </row>
    <row r="40" spans="1:6" x14ac:dyDescent="0.25">
      <c r="A40" s="42" t="s">
        <v>314</v>
      </c>
      <c r="B40" s="44">
        <f>B38+B39</f>
        <v>0</v>
      </c>
      <c r="C40" s="44">
        <f>C38+C39</f>
        <v>510996</v>
      </c>
    </row>
    <row r="42" spans="1:6" x14ac:dyDescent="0.25">
      <c r="A42" s="34" t="s">
        <v>315</v>
      </c>
      <c r="B42" s="35"/>
      <c r="C42" s="35"/>
      <c r="D42" s="35"/>
      <c r="E42" s="35"/>
      <c r="F42" s="35"/>
    </row>
    <row r="43" spans="1:6" x14ac:dyDescent="0.25">
      <c r="A43" s="45" t="s">
        <v>316</v>
      </c>
      <c r="B43" s="45" t="s">
        <v>305</v>
      </c>
      <c r="C43" s="45" t="s">
        <v>317</v>
      </c>
      <c r="D43" s="45" t="s">
        <v>306</v>
      </c>
      <c r="E43" s="45" t="s">
        <v>318</v>
      </c>
      <c r="F43" s="45" t="s">
        <v>307</v>
      </c>
    </row>
    <row r="44" spans="1:6" x14ac:dyDescent="0.25">
      <c r="A44" t="s">
        <v>319</v>
      </c>
      <c r="B44" s="31"/>
      <c r="C44" s="31">
        <f>B22*Assumptions!$B$15</f>
        <v>53750</v>
      </c>
      <c r="D44" s="46">
        <f>C44</f>
        <v>53750</v>
      </c>
      <c r="E44" s="31" t="str">
        <f t="shared" ref="E44:E52" si="0">IF(ISNUMBER(B44),D44-B44,"")</f>
        <v/>
      </c>
      <c r="F44" s="26" t="s">
        <v>358</v>
      </c>
    </row>
    <row r="45" spans="1:6" x14ac:dyDescent="0.25">
      <c r="A45" t="s">
        <v>321</v>
      </c>
      <c r="B45" s="31"/>
      <c r="C45" s="31">
        <f>B7*Assumptions!$B$5+B8*Assumptions!$B$6</f>
        <v>11874</v>
      </c>
      <c r="D45" s="46">
        <f t="shared" ref="D45:D51" si="1">IF(ISNUMBER(B45),MAX(B45,C45),C45)</f>
        <v>11874</v>
      </c>
      <c r="E45" s="31" t="str">
        <f t="shared" si="0"/>
        <v/>
      </c>
      <c r="F45" s="26" t="s">
        <v>322</v>
      </c>
    </row>
    <row r="46" spans="1:6" x14ac:dyDescent="0.25">
      <c r="A46" t="s">
        <v>323</v>
      </c>
      <c r="B46" s="31"/>
      <c r="C46" s="31">
        <f>C40*Assumptions!$B$4</f>
        <v>25549.800000000003</v>
      </c>
      <c r="D46" s="46">
        <f t="shared" si="1"/>
        <v>25549.800000000003</v>
      </c>
      <c r="E46" s="31" t="str">
        <f t="shared" si="0"/>
        <v/>
      </c>
      <c r="F46" s="26" t="s">
        <v>324</v>
      </c>
    </row>
    <row r="47" spans="1:6" x14ac:dyDescent="0.25">
      <c r="A47" t="s">
        <v>325</v>
      </c>
      <c r="B47" s="31"/>
      <c r="C47" s="31">
        <f>B7*Assumptions!$B$7</f>
        <v>25200</v>
      </c>
      <c r="D47" s="46">
        <f t="shared" si="1"/>
        <v>25200</v>
      </c>
      <c r="E47" s="31" t="str">
        <f t="shared" si="0"/>
        <v/>
      </c>
      <c r="F47" s="26" t="s">
        <v>326</v>
      </c>
    </row>
    <row r="48" spans="1:6" x14ac:dyDescent="0.25">
      <c r="A48" t="s">
        <v>327</v>
      </c>
      <c r="B48" s="31"/>
      <c r="C48" s="31">
        <f>B7*Assumptions!$B$9</f>
        <v>31500</v>
      </c>
      <c r="D48" s="46">
        <f t="shared" si="1"/>
        <v>31500</v>
      </c>
      <c r="E48" s="31" t="str">
        <f t="shared" si="0"/>
        <v/>
      </c>
      <c r="F48" s="26" t="s">
        <v>328</v>
      </c>
    </row>
    <row r="49" spans="1:6" x14ac:dyDescent="0.25">
      <c r="A49" t="s">
        <v>329</v>
      </c>
      <c r="B49" s="31"/>
      <c r="C49" s="31">
        <f>B7*Assumptions!$B$12</f>
        <v>8400</v>
      </c>
      <c r="D49" s="46">
        <f t="shared" si="1"/>
        <v>8400</v>
      </c>
      <c r="E49" s="31" t="str">
        <f t="shared" si="0"/>
        <v/>
      </c>
      <c r="F49" s="26" t="s">
        <v>330</v>
      </c>
    </row>
    <row r="50" spans="1:6" x14ac:dyDescent="0.25">
      <c r="A50" t="s">
        <v>331</v>
      </c>
      <c r="B50" s="31"/>
      <c r="C50" s="31">
        <f>B7*Assumptions!$B$13</f>
        <v>5250</v>
      </c>
      <c r="D50" s="46">
        <f t="shared" si="1"/>
        <v>5250</v>
      </c>
      <c r="E50" s="31" t="str">
        <f t="shared" si="0"/>
        <v/>
      </c>
      <c r="F50" s="26" t="s">
        <v>332</v>
      </c>
    </row>
    <row r="51" spans="1:6" x14ac:dyDescent="0.25">
      <c r="A51" t="s">
        <v>333</v>
      </c>
      <c r="B51" s="31"/>
      <c r="C51" s="31">
        <f>B7*Assumptions!$B$14</f>
        <v>6300</v>
      </c>
      <c r="D51" s="46">
        <f t="shared" si="1"/>
        <v>6300</v>
      </c>
      <c r="E51" s="31" t="str">
        <f t="shared" si="0"/>
        <v/>
      </c>
      <c r="F51" s="26" t="s">
        <v>330</v>
      </c>
    </row>
    <row r="52" spans="1:6" x14ac:dyDescent="0.25">
      <c r="A52" s="42" t="s">
        <v>334</v>
      </c>
      <c r="B52" s="42"/>
      <c r="C52" s="44">
        <f>SUM(C44:C51)</f>
        <v>167823.8</v>
      </c>
      <c r="D52" s="44">
        <f>SUM(D44:D51)</f>
        <v>167823.8</v>
      </c>
      <c r="E52" s="44" t="str">
        <f t="shared" si="0"/>
        <v/>
      </c>
      <c r="F52" s="26" t="s">
        <v>413</v>
      </c>
    </row>
    <row r="53" spans="1:6" x14ac:dyDescent="0.25">
      <c r="A53" t="s">
        <v>336</v>
      </c>
      <c r="B53" s="31">
        <f>IFERROR(B52/B7,"")</f>
        <v>0</v>
      </c>
      <c r="C53" s="31">
        <f>IFERROR(C52/B7,"")</f>
        <v>7991.6095238095231</v>
      </c>
      <c r="D53" s="31">
        <f>IFERROR(D52/B7,"")</f>
        <v>7991.6095238095231</v>
      </c>
    </row>
    <row r="54" spans="1:6" x14ac:dyDescent="0.25">
      <c r="A54" t="s">
        <v>337</v>
      </c>
      <c r="B54" s="39" t="str">
        <f>IFERROR(B52/B40,"")</f>
        <v/>
      </c>
      <c r="C54" s="39">
        <f>IFERROR(C52/C40,"")</f>
        <v>0.32842488003819986</v>
      </c>
      <c r="D54" s="39">
        <f>IF(C36&gt;0,IFERROR(D52/C40,""),"")</f>
        <v>0.32842488003819986</v>
      </c>
    </row>
    <row r="55" spans="1:6" x14ac:dyDescent="0.25">
      <c r="A55" s="42" t="s">
        <v>18</v>
      </c>
      <c r="B55" s="47" t="str">
        <f>IF(ISNUMBER(B52),IF(D52&gt;B52*(1+Assumptions!$B$24),"OM EXPENSES LIGHT","OM expenses reasonable"),"OM expenses not published")</f>
        <v>OM expenses not published</v>
      </c>
    </row>
    <row r="57" spans="1:6" x14ac:dyDescent="0.25">
      <c r="A57" s="34" t="s">
        <v>338</v>
      </c>
      <c r="B57" s="35"/>
      <c r="C57" s="35"/>
      <c r="D57" s="35"/>
      <c r="E57" s="35"/>
      <c r="F57" s="35"/>
    </row>
    <row r="58" spans="1:6" x14ac:dyDescent="0.25">
      <c r="A58" s="45"/>
      <c r="B58" s="45" t="s">
        <v>305</v>
      </c>
      <c r="C58" s="45" t="s">
        <v>306</v>
      </c>
      <c r="D58" s="45"/>
      <c r="E58" s="45"/>
      <c r="F58" s="45" t="s">
        <v>307</v>
      </c>
    </row>
    <row r="59" spans="1:6" x14ac:dyDescent="0.25">
      <c r="A59" s="42" t="s">
        <v>339</v>
      </c>
      <c r="B59" s="42"/>
      <c r="C59" s="44">
        <f>IF(C36&gt;0,C40-D52,"")</f>
        <v>343172.2</v>
      </c>
    </row>
    <row r="60" spans="1:6" x14ac:dyDescent="0.25">
      <c r="A60" s="42" t="s">
        <v>340</v>
      </c>
      <c r="B60" s="39">
        <f>IFERROR(B59/B22,"")</f>
        <v>0</v>
      </c>
      <c r="C60" s="39">
        <f>IF(C59="","",IFERROR(C59/B22,""))</f>
        <v>7.9807488372093033E-2</v>
      </c>
      <c r="F60" s="26" t="s">
        <v>341</v>
      </c>
    </row>
    <row r="61" spans="1:6" x14ac:dyDescent="0.25">
      <c r="A61" t="s">
        <v>342</v>
      </c>
      <c r="B61" s="40" t="str">
        <f>IFERROR(B22/B36,"")</f>
        <v/>
      </c>
      <c r="C61" s="40">
        <f>IF(C36&gt;0,IFERROR(B22/C36,""),"")</f>
        <v>8.1624905087319668</v>
      </c>
    </row>
    <row r="62" spans="1:6" x14ac:dyDescent="0.25">
      <c r="A62" t="s">
        <v>343</v>
      </c>
      <c r="B62" s="31">
        <f>IFERROR(B59/B7,"")</f>
        <v>0</v>
      </c>
      <c r="C62" s="31">
        <f>IF(C59="","",IFERROR(C59/B7,""))</f>
        <v>16341.533333333335</v>
      </c>
    </row>
    <row r="64" spans="1:6" x14ac:dyDescent="0.25">
      <c r="A64" s="34" t="s">
        <v>344</v>
      </c>
      <c r="B64" s="35"/>
      <c r="C64" s="35"/>
      <c r="D64" s="35"/>
      <c r="E64" s="35"/>
      <c r="F64" s="35"/>
    </row>
    <row r="65" spans="1:2" x14ac:dyDescent="0.25">
      <c r="A65" t="s">
        <v>345</v>
      </c>
      <c r="B65" s="31">
        <f>IFERROR(B22*Assumptions!$B$20,"")</f>
        <v>2580000</v>
      </c>
    </row>
    <row r="66" spans="1:2" x14ac:dyDescent="0.25">
      <c r="A66" t="s">
        <v>346</v>
      </c>
      <c r="B66" s="31">
        <f>IF(C59="","",IFERROR(PV(Assumptions!$B$22/12,Assumptions!$B$23*12,-C59/Assumptions!$B$21/12),""))</f>
        <v>3715690.6857276689</v>
      </c>
    </row>
    <row r="67" spans="1:2" x14ac:dyDescent="0.25">
      <c r="A67" s="42" t="s">
        <v>347</v>
      </c>
      <c r="B67" s="31">
        <f>IFERROR(MIN(B65,B66),"")</f>
        <v>2580000</v>
      </c>
    </row>
    <row r="68" spans="1:2" x14ac:dyDescent="0.25">
      <c r="A68" t="s">
        <v>348</v>
      </c>
      <c r="B68" s="31">
        <f>IFERROR(B22-B67,"")</f>
        <v>1720000</v>
      </c>
    </row>
    <row r="69" spans="1:2" x14ac:dyDescent="0.25">
      <c r="A69" t="s">
        <v>349</v>
      </c>
      <c r="B69" s="31">
        <f>IFERROR(-PMT(Assumptions!$B$22/12,Assumptions!$B$23*12,B67)*12,"")</f>
        <v>190626.04525201081</v>
      </c>
    </row>
    <row r="70" spans="1:2" x14ac:dyDescent="0.25">
      <c r="A70" t="s">
        <v>350</v>
      </c>
      <c r="B70" s="40">
        <f>IFERROR(C59/B69,"")</f>
        <v>1.8002377353331789</v>
      </c>
    </row>
    <row r="71" spans="1:2" x14ac:dyDescent="0.25">
      <c r="A71" t="s">
        <v>351</v>
      </c>
      <c r="B71" s="31">
        <f>IFERROR(C59-B69,"")</f>
        <v>152546.1547479892</v>
      </c>
    </row>
    <row r="72" spans="1:2" x14ac:dyDescent="0.25">
      <c r="A72" t="s">
        <v>352</v>
      </c>
      <c r="B72" s="39">
        <f>IFERROR(B71/B68,"")</f>
        <v>8.8689624853482099E-2</v>
      </c>
    </row>
    <row r="74" spans="1:2" x14ac:dyDescent="0.25">
      <c r="A74" s="26" t="s">
        <v>353</v>
      </c>
    </row>
  </sheetData>
  <hyperlinks>
    <hyperlink ref="A3" r:id="rId1" xr:uid="{00000000-0004-0000-2200-000000000000}"/>
  </hyperlinks>
  <pageMargins left="0.75" right="0.75" top="1" bottom="1" header="0.5" footer="0.5"/>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F73"/>
  <sheetViews>
    <sheetView showGridLines="0" workbookViewId="0">
      <pane ySplit="5" topLeftCell="A6" activePane="bottomLeft" state="frozen"/>
      <selection pane="bottomLeft"/>
    </sheetView>
  </sheetViews>
  <sheetFormatPr defaultRowHeight="15" x14ac:dyDescent="0.25"/>
  <cols>
    <col min="1" max="1" width="38" customWidth="1"/>
    <col min="2" max="5" width="16" customWidth="1"/>
    <col min="6" max="6" width="48" customWidth="1"/>
    <col min="7" max="7" width="12" customWidth="1"/>
  </cols>
  <sheetData>
    <row r="1" spans="1:3" ht="19.5" x14ac:dyDescent="0.3">
      <c r="A1" s="1" t="s">
        <v>190</v>
      </c>
    </row>
    <row r="2" spans="1:3" x14ac:dyDescent="0.25">
      <c r="A2" s="32" t="s">
        <v>354</v>
      </c>
    </row>
    <row r="3" spans="1:3" x14ac:dyDescent="0.25">
      <c r="A3" s="33" t="s">
        <v>271</v>
      </c>
      <c r="B3" s="26" t="s">
        <v>272</v>
      </c>
    </row>
    <row r="4" spans="1:3" x14ac:dyDescent="0.25">
      <c r="A4" s="47" t="s">
        <v>470</v>
      </c>
    </row>
    <row r="6" spans="1:3" x14ac:dyDescent="0.25">
      <c r="A6" s="34" t="s">
        <v>273</v>
      </c>
      <c r="B6" s="35"/>
      <c r="C6" s="35"/>
    </row>
    <row r="7" spans="1:3" x14ac:dyDescent="0.25">
      <c r="A7" t="s">
        <v>7</v>
      </c>
      <c r="B7" s="36">
        <v>18</v>
      </c>
    </row>
    <row r="8" spans="1:3" x14ac:dyDescent="0.25">
      <c r="A8" t="s">
        <v>274</v>
      </c>
      <c r="B8" s="36">
        <v>8490</v>
      </c>
    </row>
    <row r="9" spans="1:3" x14ac:dyDescent="0.25">
      <c r="A9" t="s">
        <v>10</v>
      </c>
      <c r="B9" s="36">
        <v>3920</v>
      </c>
    </row>
    <row r="10" spans="1:3" x14ac:dyDescent="0.25">
      <c r="A10" t="s">
        <v>275</v>
      </c>
      <c r="B10" s="37">
        <v>0.09</v>
      </c>
    </row>
    <row r="11" spans="1:3" x14ac:dyDescent="0.25">
      <c r="A11" t="s">
        <v>8</v>
      </c>
      <c r="B11">
        <v>1908</v>
      </c>
    </row>
    <row r="12" spans="1:3" x14ac:dyDescent="0.25">
      <c r="A12" t="s">
        <v>276</v>
      </c>
      <c r="B12" t="s">
        <v>367</v>
      </c>
    </row>
    <row r="13" spans="1:3" x14ac:dyDescent="0.25">
      <c r="A13" t="s">
        <v>278</v>
      </c>
      <c r="B13" t="s">
        <v>471</v>
      </c>
    </row>
    <row r="14" spans="1:3" x14ac:dyDescent="0.25">
      <c r="A14" t="s">
        <v>280</v>
      </c>
      <c r="B14" t="s">
        <v>34</v>
      </c>
    </row>
    <row r="15" spans="1:3" x14ac:dyDescent="0.25">
      <c r="A15" t="s">
        <v>281</v>
      </c>
      <c r="B15" t="s">
        <v>472</v>
      </c>
    </row>
    <row r="16" spans="1:3" x14ac:dyDescent="0.25">
      <c r="A16" t="s">
        <v>283</v>
      </c>
      <c r="B16" s="31">
        <v>1214967</v>
      </c>
    </row>
    <row r="17" spans="1:6" x14ac:dyDescent="0.25">
      <c r="A17" t="s">
        <v>284</v>
      </c>
      <c r="B17" t="s">
        <v>87</v>
      </c>
    </row>
    <row r="18" spans="1:6" x14ac:dyDescent="0.25">
      <c r="A18" t="s">
        <v>285</v>
      </c>
      <c r="B18" t="s">
        <v>83</v>
      </c>
    </row>
    <row r="19" spans="1:6" x14ac:dyDescent="0.25">
      <c r="A19" t="s">
        <v>286</v>
      </c>
      <c r="B19" t="s">
        <v>83</v>
      </c>
    </row>
    <row r="21" spans="1:6" x14ac:dyDescent="0.25">
      <c r="A21" s="34" t="s">
        <v>287</v>
      </c>
      <c r="B21" s="35"/>
      <c r="C21" s="35"/>
    </row>
    <row r="22" spans="1:6" x14ac:dyDescent="0.25">
      <c r="A22" t="s">
        <v>11</v>
      </c>
      <c r="B22" s="28"/>
      <c r="C22" s="47" t="s">
        <v>473</v>
      </c>
    </row>
    <row r="23" spans="1:6" x14ac:dyDescent="0.25">
      <c r="A23" t="s">
        <v>288</v>
      </c>
      <c r="B23" s="31">
        <f>IFERROR(B22/B7,"")</f>
        <v>0</v>
      </c>
    </row>
    <row r="24" spans="1:6" x14ac:dyDescent="0.25">
      <c r="A24" t="s">
        <v>289</v>
      </c>
      <c r="B24" s="38">
        <f>IFERROR(B22/B8,"")</f>
        <v>0</v>
      </c>
    </row>
    <row r="25" spans="1:6" x14ac:dyDescent="0.25">
      <c r="A25" t="s">
        <v>290</v>
      </c>
      <c r="B25" s="39"/>
    </row>
    <row r="26" spans="1:6" x14ac:dyDescent="0.25">
      <c r="A26" t="s">
        <v>291</v>
      </c>
      <c r="B26" s="40"/>
    </row>
    <row r="28" spans="1:6" x14ac:dyDescent="0.25">
      <c r="A28" s="34" t="s">
        <v>292</v>
      </c>
      <c r="B28" s="35"/>
      <c r="C28" s="35"/>
      <c r="D28" s="35"/>
      <c r="E28" s="35"/>
      <c r="F28" s="35"/>
    </row>
    <row r="29" spans="1:6" x14ac:dyDescent="0.25">
      <c r="A29" s="41" t="s">
        <v>293</v>
      </c>
      <c r="B29" s="41" t="s">
        <v>294</v>
      </c>
      <c r="C29" s="41" t="s">
        <v>295</v>
      </c>
      <c r="D29" s="41" t="s">
        <v>296</v>
      </c>
      <c r="E29" s="41" t="s">
        <v>297</v>
      </c>
      <c r="F29" s="41" t="s">
        <v>298</v>
      </c>
    </row>
    <row r="30" spans="1:6" x14ac:dyDescent="0.25">
      <c r="A30" t="s">
        <v>257</v>
      </c>
      <c r="B30" s="36">
        <v>18</v>
      </c>
      <c r="C30" s="49">
        <v>1900</v>
      </c>
      <c r="D30" s="31">
        <f>B30*C30</f>
        <v>34200</v>
      </c>
      <c r="E30" s="31">
        <f>D30*12</f>
        <v>410400</v>
      </c>
      <c r="F30" s="26" t="s">
        <v>408</v>
      </c>
    </row>
    <row r="31" spans="1:6" x14ac:dyDescent="0.25">
      <c r="A31" s="42" t="s">
        <v>303</v>
      </c>
      <c r="B31" s="43">
        <f>SUM(B30:B30)</f>
        <v>18</v>
      </c>
      <c r="C31" s="44">
        <f>IFERROR(D31/B31,"")</f>
        <v>1900</v>
      </c>
      <c r="D31" s="44">
        <f>SUM(D30:D30)</f>
        <v>34200</v>
      </c>
      <c r="E31" s="44">
        <f>SUM(E30:E30)</f>
        <v>410400</v>
      </c>
    </row>
    <row r="33" spans="1:6" x14ac:dyDescent="0.25">
      <c r="A33" s="34" t="s">
        <v>304</v>
      </c>
      <c r="B33" s="35"/>
      <c r="C33" s="35"/>
      <c r="D33" s="35"/>
      <c r="E33" s="35"/>
      <c r="F33" s="35"/>
    </row>
    <row r="34" spans="1:6" x14ac:dyDescent="0.25">
      <c r="A34" s="45"/>
      <c r="B34" s="45" t="s">
        <v>305</v>
      </c>
      <c r="C34" s="45" t="s">
        <v>306</v>
      </c>
      <c r="D34" s="45"/>
      <c r="E34" s="45"/>
      <c r="F34" s="45" t="s">
        <v>307</v>
      </c>
    </row>
    <row r="35" spans="1:6" x14ac:dyDescent="0.25">
      <c r="A35" t="s">
        <v>308</v>
      </c>
      <c r="B35" s="31"/>
      <c r="C35" s="31">
        <f>E31</f>
        <v>410400</v>
      </c>
      <c r="F35" s="26" t="s">
        <v>411</v>
      </c>
    </row>
    <row r="36" spans="1:6" x14ac:dyDescent="0.25">
      <c r="A36" t="s">
        <v>310</v>
      </c>
      <c r="B36" s="31">
        <v>0</v>
      </c>
      <c r="C36" s="28">
        <v>0</v>
      </c>
    </row>
    <row r="37" spans="1:6" x14ac:dyDescent="0.25">
      <c r="A37" s="42" t="s">
        <v>311</v>
      </c>
      <c r="B37" s="31">
        <f>B35+B36</f>
        <v>0</v>
      </c>
      <c r="C37" s="31">
        <f>C35+C36</f>
        <v>410400</v>
      </c>
    </row>
    <row r="38" spans="1:6" x14ac:dyDescent="0.25">
      <c r="A38" t="s">
        <v>312</v>
      </c>
      <c r="B38" s="31">
        <f>-B35*0.03</f>
        <v>0</v>
      </c>
      <c r="C38" s="31">
        <f>-C35*Assumptions!$B$3</f>
        <v>-12312</v>
      </c>
      <c r="F38" s="26" t="s">
        <v>313</v>
      </c>
    </row>
    <row r="39" spans="1:6" x14ac:dyDescent="0.25">
      <c r="A39" s="42" t="s">
        <v>314</v>
      </c>
      <c r="B39" s="44">
        <f>B37+B38</f>
        <v>0</v>
      </c>
      <c r="C39" s="44">
        <f>C37+C38</f>
        <v>398088</v>
      </c>
    </row>
    <row r="41" spans="1:6" x14ac:dyDescent="0.25">
      <c r="A41" s="34" t="s">
        <v>315</v>
      </c>
      <c r="B41" s="35"/>
      <c r="C41" s="35"/>
      <c r="D41" s="35"/>
      <c r="E41" s="35"/>
      <c r="F41" s="35"/>
    </row>
    <row r="42" spans="1:6" x14ac:dyDescent="0.25">
      <c r="A42" s="45" t="s">
        <v>316</v>
      </c>
      <c r="B42" s="45" t="s">
        <v>305</v>
      </c>
      <c r="C42" s="45" t="s">
        <v>317</v>
      </c>
      <c r="D42" s="45" t="s">
        <v>306</v>
      </c>
      <c r="E42" s="45" t="s">
        <v>318</v>
      </c>
      <c r="F42" s="45" t="s">
        <v>307</v>
      </c>
    </row>
    <row r="43" spans="1:6" x14ac:dyDescent="0.25">
      <c r="A43" t="s">
        <v>319</v>
      </c>
      <c r="B43" s="31"/>
      <c r="C43" s="31">
        <f>B22*Assumptions!$B$15</f>
        <v>0</v>
      </c>
      <c r="D43" s="46">
        <f>C43</f>
        <v>0</v>
      </c>
      <c r="E43" s="31" t="str">
        <f t="shared" ref="E43:E51" si="0">IF(ISNUMBER(B43),D43-B43,"")</f>
        <v/>
      </c>
      <c r="F43" s="26" t="s">
        <v>358</v>
      </c>
    </row>
    <row r="44" spans="1:6" x14ac:dyDescent="0.25">
      <c r="A44" t="s">
        <v>321</v>
      </c>
      <c r="B44" s="31"/>
      <c r="C44" s="31">
        <f>B7*Assumptions!$B$5+B8*Assumptions!$B$6</f>
        <v>12090</v>
      </c>
      <c r="D44" s="46">
        <f t="shared" ref="D44:D50" si="1">IF(ISNUMBER(B44),MAX(B44,C44),C44)</f>
        <v>12090</v>
      </c>
      <c r="E44" s="31" t="str">
        <f t="shared" si="0"/>
        <v/>
      </c>
      <c r="F44" s="26" t="s">
        <v>322</v>
      </c>
    </row>
    <row r="45" spans="1:6" x14ac:dyDescent="0.25">
      <c r="A45" t="s">
        <v>323</v>
      </c>
      <c r="B45" s="31"/>
      <c r="C45" s="31">
        <f>C39*Assumptions!$B$4</f>
        <v>19904.400000000001</v>
      </c>
      <c r="D45" s="46">
        <f t="shared" si="1"/>
        <v>19904.400000000001</v>
      </c>
      <c r="E45" s="31" t="str">
        <f t="shared" si="0"/>
        <v/>
      </c>
      <c r="F45" s="26" t="s">
        <v>324</v>
      </c>
    </row>
    <row r="46" spans="1:6" x14ac:dyDescent="0.25">
      <c r="A46" t="s">
        <v>325</v>
      </c>
      <c r="B46" s="31"/>
      <c r="C46" s="31">
        <f>B7*Assumptions!$B$7</f>
        <v>21600</v>
      </c>
      <c r="D46" s="46">
        <f t="shared" si="1"/>
        <v>21600</v>
      </c>
      <c r="E46" s="31" t="str">
        <f t="shared" si="0"/>
        <v/>
      </c>
      <c r="F46" s="26" t="s">
        <v>326</v>
      </c>
    </row>
    <row r="47" spans="1:6" x14ac:dyDescent="0.25">
      <c r="A47" t="s">
        <v>327</v>
      </c>
      <c r="B47" s="31"/>
      <c r="C47" s="31">
        <f>B7*Assumptions!$B$9</f>
        <v>27000</v>
      </c>
      <c r="D47" s="46">
        <f t="shared" si="1"/>
        <v>27000</v>
      </c>
      <c r="E47" s="31" t="str">
        <f t="shared" si="0"/>
        <v/>
      </c>
      <c r="F47" s="26" t="s">
        <v>328</v>
      </c>
    </row>
    <row r="48" spans="1:6" x14ac:dyDescent="0.25">
      <c r="A48" t="s">
        <v>329</v>
      </c>
      <c r="B48" s="31"/>
      <c r="C48" s="31">
        <f>B7*Assumptions!$B$12</f>
        <v>7200</v>
      </c>
      <c r="D48" s="46">
        <f t="shared" si="1"/>
        <v>7200</v>
      </c>
      <c r="E48" s="31" t="str">
        <f t="shared" si="0"/>
        <v/>
      </c>
      <c r="F48" s="26" t="s">
        <v>330</v>
      </c>
    </row>
    <row r="49" spans="1:6" x14ac:dyDescent="0.25">
      <c r="A49" t="s">
        <v>331</v>
      </c>
      <c r="B49" s="31"/>
      <c r="C49" s="31">
        <f>B7*Assumptions!$B$13</f>
        <v>4500</v>
      </c>
      <c r="D49" s="46">
        <f t="shared" si="1"/>
        <v>4500</v>
      </c>
      <c r="E49" s="31" t="str">
        <f t="shared" si="0"/>
        <v/>
      </c>
      <c r="F49" s="26" t="s">
        <v>332</v>
      </c>
    </row>
    <row r="50" spans="1:6" x14ac:dyDescent="0.25">
      <c r="A50" t="s">
        <v>333</v>
      </c>
      <c r="B50" s="31"/>
      <c r="C50" s="31">
        <f>B7*Assumptions!$B$14</f>
        <v>5400</v>
      </c>
      <c r="D50" s="46">
        <f t="shared" si="1"/>
        <v>5400</v>
      </c>
      <c r="E50" s="31" t="str">
        <f t="shared" si="0"/>
        <v/>
      </c>
      <c r="F50" s="26" t="s">
        <v>330</v>
      </c>
    </row>
    <row r="51" spans="1:6" x14ac:dyDescent="0.25">
      <c r="A51" s="42" t="s">
        <v>334</v>
      </c>
      <c r="B51" s="42"/>
      <c r="C51" s="44">
        <f>SUM(C43:C50)</f>
        <v>97694.399999999994</v>
      </c>
      <c r="D51" s="44">
        <f>SUM(D43:D50)</f>
        <v>97694.399999999994</v>
      </c>
      <c r="E51" s="44" t="str">
        <f t="shared" si="0"/>
        <v/>
      </c>
      <c r="F51" s="26" t="s">
        <v>413</v>
      </c>
    </row>
    <row r="52" spans="1:6" x14ac:dyDescent="0.25">
      <c r="A52" t="s">
        <v>336</v>
      </c>
      <c r="B52" s="31">
        <f>IFERROR(B51/B7,"")</f>
        <v>0</v>
      </c>
      <c r="C52" s="31">
        <f>IFERROR(C51/B7,"")</f>
        <v>5427.4666666666662</v>
      </c>
      <c r="D52" s="31">
        <f>IFERROR(D51/B7,"")</f>
        <v>5427.4666666666662</v>
      </c>
    </row>
    <row r="53" spans="1:6" x14ac:dyDescent="0.25">
      <c r="A53" t="s">
        <v>337</v>
      </c>
      <c r="B53" s="39" t="str">
        <f>IFERROR(B51/B39,"")</f>
        <v/>
      </c>
      <c r="C53" s="39">
        <f>IFERROR(C51/C39,"")</f>
        <v>0.24540905528425874</v>
      </c>
      <c r="D53" s="39">
        <f>IF(C35&gt;0,IFERROR(D51/C39,""),"")</f>
        <v>0.24540905528425874</v>
      </c>
    </row>
    <row r="54" spans="1:6" x14ac:dyDescent="0.25">
      <c r="A54" s="42" t="s">
        <v>18</v>
      </c>
      <c r="B54" s="47" t="str">
        <f>IF(ISNUMBER(B51),IF(D51&gt;B51*(1+Assumptions!$B$24),"OM EXPENSES LIGHT","OM expenses reasonable"),"OM expenses not published")</f>
        <v>OM expenses not published</v>
      </c>
    </row>
    <row r="56" spans="1:6" x14ac:dyDescent="0.25">
      <c r="A56" s="34" t="s">
        <v>338</v>
      </c>
      <c r="B56" s="35"/>
      <c r="C56" s="35"/>
      <c r="D56" s="35"/>
      <c r="E56" s="35"/>
      <c r="F56" s="35"/>
    </row>
    <row r="57" spans="1:6" x14ac:dyDescent="0.25">
      <c r="A57" s="45"/>
      <c r="B57" s="45" t="s">
        <v>305</v>
      </c>
      <c r="C57" s="45" t="s">
        <v>306</v>
      </c>
      <c r="D57" s="45"/>
      <c r="E57" s="45"/>
      <c r="F57" s="45" t="s">
        <v>307</v>
      </c>
    </row>
    <row r="58" spans="1:6" x14ac:dyDescent="0.25">
      <c r="A58" s="42" t="s">
        <v>339</v>
      </c>
      <c r="B58" s="42"/>
      <c r="C58" s="44">
        <f>IF(C35&gt;0,C39-D51,"")</f>
        <v>300393.59999999998</v>
      </c>
    </row>
    <row r="59" spans="1:6" x14ac:dyDescent="0.25">
      <c r="A59" s="42" t="s">
        <v>340</v>
      </c>
      <c r="B59" s="39" t="str">
        <f>IFERROR(B58/B22,"")</f>
        <v/>
      </c>
      <c r="C59" s="39" t="str">
        <f>IF(C58="","",IFERROR(C58/B22,""))</f>
        <v/>
      </c>
      <c r="F59" s="26" t="s">
        <v>341</v>
      </c>
    </row>
    <row r="60" spans="1:6" x14ac:dyDescent="0.25">
      <c r="A60" t="s">
        <v>342</v>
      </c>
      <c r="B60" s="40" t="str">
        <f>IFERROR(B22/B35,"")</f>
        <v/>
      </c>
      <c r="C60" s="40">
        <f>IF(C35&gt;0,IFERROR(B22/C35,""),"")</f>
        <v>0</v>
      </c>
    </row>
    <row r="61" spans="1:6" x14ac:dyDescent="0.25">
      <c r="A61" t="s">
        <v>343</v>
      </c>
      <c r="B61" s="31">
        <f>IFERROR(B58/B7,"")</f>
        <v>0</v>
      </c>
      <c r="C61" s="31">
        <f>IF(C58="","",IFERROR(C58/B7,""))</f>
        <v>16688.533333333333</v>
      </c>
    </row>
    <row r="63" spans="1:6" x14ac:dyDescent="0.25">
      <c r="A63" s="34" t="s">
        <v>344</v>
      </c>
      <c r="B63" s="35"/>
      <c r="C63" s="35"/>
      <c r="D63" s="35"/>
      <c r="E63" s="35"/>
      <c r="F63" s="35"/>
    </row>
    <row r="64" spans="1:6" x14ac:dyDescent="0.25">
      <c r="A64" t="s">
        <v>345</v>
      </c>
      <c r="B64" s="31">
        <f>IFERROR(B22*Assumptions!$B$20,"")</f>
        <v>0</v>
      </c>
    </row>
    <row r="65" spans="1:2" x14ac:dyDescent="0.25">
      <c r="A65" t="s">
        <v>346</v>
      </c>
      <c r="B65" s="31">
        <f>IF(C58="","",IFERROR(PV(Assumptions!$B$22/12,Assumptions!$B$23*12,-C58/Assumptions!$B$21/12),""))</f>
        <v>3252506.1807809696</v>
      </c>
    </row>
    <row r="66" spans="1:2" x14ac:dyDescent="0.25">
      <c r="A66" s="42" t="s">
        <v>347</v>
      </c>
      <c r="B66" s="31">
        <f>IFERROR(MIN(B64,B65),"")</f>
        <v>0</v>
      </c>
    </row>
    <row r="67" spans="1:2" x14ac:dyDescent="0.25">
      <c r="A67" t="s">
        <v>348</v>
      </c>
      <c r="B67" s="31">
        <f>IFERROR(B22-B66,"")</f>
        <v>0</v>
      </c>
    </row>
    <row r="68" spans="1:2" x14ac:dyDescent="0.25">
      <c r="A68" t="s">
        <v>349</v>
      </c>
      <c r="B68" s="31">
        <f>IFERROR(-PMT(Assumptions!$B$22/12,Assumptions!$B$23*12,B66)*12,"")</f>
        <v>0</v>
      </c>
    </row>
    <row r="69" spans="1:2" x14ac:dyDescent="0.25">
      <c r="A69" t="s">
        <v>350</v>
      </c>
      <c r="B69" s="40" t="str">
        <f>IFERROR(C58/B68,"")</f>
        <v/>
      </c>
    </row>
    <row r="70" spans="1:2" x14ac:dyDescent="0.25">
      <c r="A70" t="s">
        <v>351</v>
      </c>
      <c r="B70" s="31">
        <f>IFERROR(C58-B68,"")</f>
        <v>300393.59999999998</v>
      </c>
    </row>
    <row r="71" spans="1:2" x14ac:dyDescent="0.25">
      <c r="A71" t="s">
        <v>352</v>
      </c>
      <c r="B71" s="39" t="str">
        <f>IFERROR(B70/B67,"")</f>
        <v/>
      </c>
    </row>
    <row r="73" spans="1:2" x14ac:dyDescent="0.25">
      <c r="A73" s="26" t="s">
        <v>353</v>
      </c>
    </row>
  </sheetData>
  <hyperlinks>
    <hyperlink ref="A3" r:id="rId1" xr:uid="{00000000-0004-0000-2300-000000000000}"/>
  </hyperlinks>
  <pageMargins left="0.75" right="0.75" top="1" bottom="1" header="0.5" footer="0.5"/>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F73"/>
  <sheetViews>
    <sheetView showGridLines="0" workbookViewId="0">
      <pane ySplit="5" topLeftCell="A6" activePane="bottomLeft" state="frozen"/>
      <selection pane="bottomLeft"/>
    </sheetView>
  </sheetViews>
  <sheetFormatPr defaultRowHeight="15" x14ac:dyDescent="0.25"/>
  <cols>
    <col min="1" max="1" width="38" customWidth="1"/>
    <col min="2" max="5" width="16" customWidth="1"/>
    <col min="6" max="6" width="48" customWidth="1"/>
    <col min="7" max="7" width="12" customWidth="1"/>
  </cols>
  <sheetData>
    <row r="1" spans="1:3" ht="19.5" x14ac:dyDescent="0.3">
      <c r="A1" s="1" t="s">
        <v>192</v>
      </c>
    </row>
    <row r="2" spans="1:3" x14ac:dyDescent="0.25">
      <c r="A2" s="32" t="s">
        <v>362</v>
      </c>
    </row>
    <row r="3" spans="1:3" x14ac:dyDescent="0.25">
      <c r="A3" s="33" t="s">
        <v>271</v>
      </c>
      <c r="B3" s="26" t="s">
        <v>272</v>
      </c>
    </row>
    <row r="4" spans="1:3" x14ac:dyDescent="0.25">
      <c r="A4" s="47" t="s">
        <v>474</v>
      </c>
    </row>
    <row r="6" spans="1:3" x14ac:dyDescent="0.25">
      <c r="A6" s="34" t="s">
        <v>273</v>
      </c>
      <c r="B6" s="35"/>
      <c r="C6" s="35"/>
    </row>
    <row r="7" spans="1:3" x14ac:dyDescent="0.25">
      <c r="A7" t="s">
        <v>7</v>
      </c>
      <c r="B7" s="36">
        <v>12</v>
      </c>
    </row>
    <row r="8" spans="1:3" x14ac:dyDescent="0.25">
      <c r="A8" t="s">
        <v>274</v>
      </c>
      <c r="B8" s="36">
        <v>8000</v>
      </c>
    </row>
    <row r="9" spans="1:3" x14ac:dyDescent="0.25">
      <c r="A9" t="s">
        <v>10</v>
      </c>
      <c r="B9" s="36">
        <v>5663</v>
      </c>
    </row>
    <row r="10" spans="1:3" x14ac:dyDescent="0.25">
      <c r="A10" t="s">
        <v>275</v>
      </c>
      <c r="B10" s="37">
        <v>0.13</v>
      </c>
    </row>
    <row r="11" spans="1:3" x14ac:dyDescent="0.25">
      <c r="A11" t="s">
        <v>8</v>
      </c>
      <c r="B11">
        <v>2024</v>
      </c>
    </row>
    <row r="12" spans="1:3" x14ac:dyDescent="0.25">
      <c r="A12" t="s">
        <v>276</v>
      </c>
      <c r="B12" t="s">
        <v>475</v>
      </c>
    </row>
    <row r="13" spans="1:3" x14ac:dyDescent="0.25">
      <c r="A13" t="s">
        <v>278</v>
      </c>
      <c r="B13" t="s">
        <v>476</v>
      </c>
    </row>
    <row r="14" spans="1:3" x14ac:dyDescent="0.25">
      <c r="A14" t="s">
        <v>280</v>
      </c>
    </row>
    <row r="15" spans="1:3" x14ac:dyDescent="0.25">
      <c r="A15" t="s">
        <v>281</v>
      </c>
      <c r="B15" t="s">
        <v>477</v>
      </c>
    </row>
    <row r="16" spans="1:3" x14ac:dyDescent="0.25">
      <c r="A16" t="s">
        <v>283</v>
      </c>
      <c r="B16" s="31">
        <v>4629520</v>
      </c>
    </row>
    <row r="17" spans="1:6" x14ac:dyDescent="0.25">
      <c r="A17" t="s">
        <v>284</v>
      </c>
      <c r="B17" t="s">
        <v>193</v>
      </c>
    </row>
    <row r="18" spans="1:6" x14ac:dyDescent="0.25">
      <c r="A18" t="s">
        <v>285</v>
      </c>
      <c r="B18" t="s">
        <v>194</v>
      </c>
    </row>
    <row r="19" spans="1:6" x14ac:dyDescent="0.25">
      <c r="A19" t="s">
        <v>286</v>
      </c>
      <c r="B19" t="s">
        <v>44</v>
      </c>
    </row>
    <row r="21" spans="1:6" x14ac:dyDescent="0.25">
      <c r="A21" s="34" t="s">
        <v>287</v>
      </c>
      <c r="B21" s="35"/>
      <c r="C21" s="35"/>
    </row>
    <row r="22" spans="1:6" x14ac:dyDescent="0.25">
      <c r="A22" t="s">
        <v>11</v>
      </c>
      <c r="B22" s="28"/>
      <c r="C22" s="47" t="s">
        <v>473</v>
      </c>
    </row>
    <row r="23" spans="1:6" x14ac:dyDescent="0.25">
      <c r="A23" t="s">
        <v>288</v>
      </c>
      <c r="B23" s="31">
        <f>IFERROR(B22/B7,"")</f>
        <v>0</v>
      </c>
    </row>
    <row r="24" spans="1:6" x14ac:dyDescent="0.25">
      <c r="A24" t="s">
        <v>289</v>
      </c>
      <c r="B24" s="38">
        <f>IFERROR(B22/B8,"")</f>
        <v>0</v>
      </c>
    </row>
    <row r="25" spans="1:6" x14ac:dyDescent="0.25">
      <c r="A25" t="s">
        <v>290</v>
      </c>
      <c r="B25" s="39"/>
    </row>
    <row r="26" spans="1:6" x14ac:dyDescent="0.25">
      <c r="A26" t="s">
        <v>291</v>
      </c>
      <c r="B26" s="40"/>
    </row>
    <row r="28" spans="1:6" x14ac:dyDescent="0.25">
      <c r="A28" s="34" t="s">
        <v>292</v>
      </c>
      <c r="B28" s="35"/>
      <c r="C28" s="35"/>
      <c r="D28" s="35"/>
      <c r="E28" s="35"/>
      <c r="F28" s="35"/>
    </row>
    <row r="29" spans="1:6" x14ac:dyDescent="0.25">
      <c r="A29" s="41" t="s">
        <v>293</v>
      </c>
      <c r="B29" s="41" t="s">
        <v>294</v>
      </c>
      <c r="C29" s="41" t="s">
        <v>295</v>
      </c>
      <c r="D29" s="41" t="s">
        <v>296</v>
      </c>
      <c r="E29" s="41" t="s">
        <v>297</v>
      </c>
      <c r="F29" s="41" t="s">
        <v>298</v>
      </c>
    </row>
    <row r="30" spans="1:6" x14ac:dyDescent="0.25">
      <c r="A30" t="s">
        <v>478</v>
      </c>
      <c r="B30" s="36">
        <v>12</v>
      </c>
      <c r="C30" s="49">
        <v>2200</v>
      </c>
      <c r="D30" s="31">
        <f>B30*C30</f>
        <v>26400</v>
      </c>
      <c r="E30" s="31">
        <f>D30*12</f>
        <v>316800</v>
      </c>
      <c r="F30" s="26" t="s">
        <v>408</v>
      </c>
    </row>
    <row r="31" spans="1:6" x14ac:dyDescent="0.25">
      <c r="A31" s="42" t="s">
        <v>303</v>
      </c>
      <c r="B31" s="43">
        <f>SUM(B30:B30)</f>
        <v>12</v>
      </c>
      <c r="C31" s="44">
        <f>IFERROR(D31/B31,"")</f>
        <v>2200</v>
      </c>
      <c r="D31" s="44">
        <f>SUM(D30:D30)</f>
        <v>26400</v>
      </c>
      <c r="E31" s="44">
        <f>SUM(E30:E30)</f>
        <v>316800</v>
      </c>
    </row>
    <row r="33" spans="1:6" x14ac:dyDescent="0.25">
      <c r="A33" s="34" t="s">
        <v>304</v>
      </c>
      <c r="B33" s="35"/>
      <c r="C33" s="35"/>
      <c r="D33" s="35"/>
      <c r="E33" s="35"/>
      <c r="F33" s="35"/>
    </row>
    <row r="34" spans="1:6" x14ac:dyDescent="0.25">
      <c r="A34" s="45"/>
      <c r="B34" s="45" t="s">
        <v>305</v>
      </c>
      <c r="C34" s="45" t="s">
        <v>306</v>
      </c>
      <c r="D34" s="45"/>
      <c r="E34" s="45"/>
      <c r="F34" s="45" t="s">
        <v>307</v>
      </c>
    </row>
    <row r="35" spans="1:6" x14ac:dyDescent="0.25">
      <c r="A35" t="s">
        <v>308</v>
      </c>
      <c r="B35" s="31"/>
      <c r="C35" s="31">
        <f>E31</f>
        <v>316800</v>
      </c>
      <c r="F35" s="26" t="s">
        <v>411</v>
      </c>
    </row>
    <row r="36" spans="1:6" x14ac:dyDescent="0.25">
      <c r="A36" t="s">
        <v>310</v>
      </c>
      <c r="B36" s="31">
        <v>0</v>
      </c>
      <c r="C36" s="28">
        <v>0</v>
      </c>
    </row>
    <row r="37" spans="1:6" x14ac:dyDescent="0.25">
      <c r="A37" s="42" t="s">
        <v>311</v>
      </c>
      <c r="B37" s="31">
        <f>B35+B36</f>
        <v>0</v>
      </c>
      <c r="C37" s="31">
        <f>C35+C36</f>
        <v>316800</v>
      </c>
    </row>
    <row r="38" spans="1:6" x14ac:dyDescent="0.25">
      <c r="A38" t="s">
        <v>312</v>
      </c>
      <c r="B38" s="31">
        <f>-B35*0.03</f>
        <v>0</v>
      </c>
      <c r="C38" s="31">
        <f>-C35*Assumptions!$B$3</f>
        <v>-9504</v>
      </c>
      <c r="F38" s="26" t="s">
        <v>313</v>
      </c>
    </row>
    <row r="39" spans="1:6" x14ac:dyDescent="0.25">
      <c r="A39" s="42" t="s">
        <v>314</v>
      </c>
      <c r="B39" s="44">
        <f>B37+B38</f>
        <v>0</v>
      </c>
      <c r="C39" s="44">
        <f>C37+C38</f>
        <v>307296</v>
      </c>
    </row>
    <row r="41" spans="1:6" x14ac:dyDescent="0.25">
      <c r="A41" s="34" t="s">
        <v>315</v>
      </c>
      <c r="B41" s="35"/>
      <c r="C41" s="35"/>
      <c r="D41" s="35"/>
      <c r="E41" s="35"/>
      <c r="F41" s="35"/>
    </row>
    <row r="42" spans="1:6" x14ac:dyDescent="0.25">
      <c r="A42" s="45" t="s">
        <v>316</v>
      </c>
      <c r="B42" s="45" t="s">
        <v>305</v>
      </c>
      <c r="C42" s="45" t="s">
        <v>317</v>
      </c>
      <c r="D42" s="45" t="s">
        <v>306</v>
      </c>
      <c r="E42" s="45" t="s">
        <v>318</v>
      </c>
      <c r="F42" s="45" t="s">
        <v>307</v>
      </c>
    </row>
    <row r="43" spans="1:6" x14ac:dyDescent="0.25">
      <c r="A43" t="s">
        <v>319</v>
      </c>
      <c r="B43" s="31"/>
      <c r="C43" s="31">
        <f>B22*Assumptions!$B$15</f>
        <v>0</v>
      </c>
      <c r="D43" s="46">
        <f>C43</f>
        <v>0</v>
      </c>
      <c r="E43" s="31" t="str">
        <f t="shared" ref="E43:E51" si="0">IF(ISNUMBER(B43),D43-B43,"")</f>
        <v/>
      </c>
      <c r="F43" s="26" t="s">
        <v>358</v>
      </c>
    </row>
    <row r="44" spans="1:6" x14ac:dyDescent="0.25">
      <c r="A44" t="s">
        <v>321</v>
      </c>
      <c r="B44" s="31"/>
      <c r="C44" s="31">
        <f>B7*Assumptions!$B$5+B8*Assumptions!$B$6</f>
        <v>10400</v>
      </c>
      <c r="D44" s="46">
        <f t="shared" ref="D44:D50" si="1">IF(ISNUMBER(B44),MAX(B44,C44),C44)</f>
        <v>10400</v>
      </c>
      <c r="E44" s="31" t="str">
        <f t="shared" si="0"/>
        <v/>
      </c>
      <c r="F44" s="26" t="s">
        <v>322</v>
      </c>
    </row>
    <row r="45" spans="1:6" x14ac:dyDescent="0.25">
      <c r="A45" t="s">
        <v>323</v>
      </c>
      <c r="B45" s="31"/>
      <c r="C45" s="31">
        <f>C39*Assumptions!$B$4</f>
        <v>15364.800000000001</v>
      </c>
      <c r="D45" s="46">
        <f t="shared" si="1"/>
        <v>15364.800000000001</v>
      </c>
      <c r="E45" s="31" t="str">
        <f t="shared" si="0"/>
        <v/>
      </c>
      <c r="F45" s="26" t="s">
        <v>324</v>
      </c>
    </row>
    <row r="46" spans="1:6" x14ac:dyDescent="0.25">
      <c r="A46" t="s">
        <v>325</v>
      </c>
      <c r="B46" s="31"/>
      <c r="C46" s="31">
        <f>B7*Assumptions!$B$8</f>
        <v>9600</v>
      </c>
      <c r="D46" s="46">
        <f t="shared" si="1"/>
        <v>9600</v>
      </c>
      <c r="E46" s="31" t="str">
        <f t="shared" si="0"/>
        <v/>
      </c>
      <c r="F46" s="26" t="s">
        <v>326</v>
      </c>
    </row>
    <row r="47" spans="1:6" x14ac:dyDescent="0.25">
      <c r="A47" t="s">
        <v>327</v>
      </c>
      <c r="B47" s="31"/>
      <c r="C47" s="31">
        <f>B7*Assumptions!$B$9</f>
        <v>18000</v>
      </c>
      <c r="D47" s="46">
        <f t="shared" si="1"/>
        <v>18000</v>
      </c>
      <c r="E47" s="31" t="str">
        <f t="shared" si="0"/>
        <v/>
      </c>
      <c r="F47" s="26" t="s">
        <v>328</v>
      </c>
    </row>
    <row r="48" spans="1:6" x14ac:dyDescent="0.25">
      <c r="A48" t="s">
        <v>329</v>
      </c>
      <c r="B48" s="31"/>
      <c r="C48" s="31">
        <f>B7*Assumptions!$B$12</f>
        <v>4800</v>
      </c>
      <c r="D48" s="46">
        <f t="shared" si="1"/>
        <v>4800</v>
      </c>
      <c r="E48" s="31" t="str">
        <f t="shared" si="0"/>
        <v/>
      </c>
      <c r="F48" s="26" t="s">
        <v>330</v>
      </c>
    </row>
    <row r="49" spans="1:6" x14ac:dyDescent="0.25">
      <c r="A49" t="s">
        <v>331</v>
      </c>
      <c r="B49" s="31"/>
      <c r="C49" s="31">
        <f>B7*Assumptions!$B$13</f>
        <v>3000</v>
      </c>
      <c r="D49" s="46">
        <f t="shared" si="1"/>
        <v>3000</v>
      </c>
      <c r="E49" s="31" t="str">
        <f t="shared" si="0"/>
        <v/>
      </c>
      <c r="F49" s="26" t="s">
        <v>332</v>
      </c>
    </row>
    <row r="50" spans="1:6" x14ac:dyDescent="0.25">
      <c r="A50" t="s">
        <v>333</v>
      </c>
      <c r="B50" s="31"/>
      <c r="C50" s="31">
        <f>B7*Assumptions!$B$14</f>
        <v>3600</v>
      </c>
      <c r="D50" s="46">
        <f t="shared" si="1"/>
        <v>3600</v>
      </c>
      <c r="E50" s="31" t="str">
        <f t="shared" si="0"/>
        <v/>
      </c>
      <c r="F50" s="26" t="s">
        <v>330</v>
      </c>
    </row>
    <row r="51" spans="1:6" x14ac:dyDescent="0.25">
      <c r="A51" s="42" t="s">
        <v>334</v>
      </c>
      <c r="B51" s="42"/>
      <c r="C51" s="44">
        <f>SUM(C43:C50)</f>
        <v>64764.800000000003</v>
      </c>
      <c r="D51" s="44">
        <f>SUM(D43:D50)</f>
        <v>64764.800000000003</v>
      </c>
      <c r="E51" s="44" t="str">
        <f t="shared" si="0"/>
        <v/>
      </c>
      <c r="F51" s="26" t="s">
        <v>413</v>
      </c>
    </row>
    <row r="52" spans="1:6" x14ac:dyDescent="0.25">
      <c r="A52" t="s">
        <v>336</v>
      </c>
      <c r="B52" s="31">
        <f>IFERROR(B51/B7,"")</f>
        <v>0</v>
      </c>
      <c r="C52" s="31">
        <f>IFERROR(C51/B7,"")</f>
        <v>5397.0666666666666</v>
      </c>
      <c r="D52" s="31">
        <f>IFERROR(D51/B7,"")</f>
        <v>5397.0666666666666</v>
      </c>
    </row>
    <row r="53" spans="1:6" x14ac:dyDescent="0.25">
      <c r="A53" t="s">
        <v>337</v>
      </c>
      <c r="B53" s="39" t="str">
        <f>IFERROR(B51/B39,"")</f>
        <v/>
      </c>
      <c r="C53" s="39">
        <f>IFERROR(C51/C39,"")</f>
        <v>0.210757055086952</v>
      </c>
      <c r="D53" s="39">
        <f>IF(C35&gt;0,IFERROR(D51/C39,""),"")</f>
        <v>0.210757055086952</v>
      </c>
    </row>
    <row r="54" spans="1:6" x14ac:dyDescent="0.25">
      <c r="A54" s="42" t="s">
        <v>18</v>
      </c>
      <c r="B54" s="47" t="str">
        <f>IF(ISNUMBER(B51),IF(D51&gt;B51*(1+Assumptions!$B$24),"OM EXPENSES LIGHT","OM expenses reasonable"),"OM expenses not published")</f>
        <v>OM expenses not published</v>
      </c>
    </row>
    <row r="56" spans="1:6" x14ac:dyDescent="0.25">
      <c r="A56" s="34" t="s">
        <v>338</v>
      </c>
      <c r="B56" s="35"/>
      <c r="C56" s="35"/>
      <c r="D56" s="35"/>
      <c r="E56" s="35"/>
      <c r="F56" s="35"/>
    </row>
    <row r="57" spans="1:6" x14ac:dyDescent="0.25">
      <c r="A57" s="45"/>
      <c r="B57" s="45" t="s">
        <v>305</v>
      </c>
      <c r="C57" s="45" t="s">
        <v>306</v>
      </c>
      <c r="D57" s="45"/>
      <c r="E57" s="45"/>
      <c r="F57" s="45" t="s">
        <v>307</v>
      </c>
    </row>
    <row r="58" spans="1:6" x14ac:dyDescent="0.25">
      <c r="A58" s="42" t="s">
        <v>339</v>
      </c>
      <c r="B58" s="42"/>
      <c r="C58" s="44">
        <f>IF(C35&gt;0,C39-D51,"")</f>
        <v>242531.20000000001</v>
      </c>
    </row>
    <row r="59" spans="1:6" x14ac:dyDescent="0.25">
      <c r="A59" s="42" t="s">
        <v>340</v>
      </c>
      <c r="B59" s="39" t="str">
        <f>IFERROR(B58/B22,"")</f>
        <v/>
      </c>
      <c r="C59" s="39" t="str">
        <f>IF(C58="","",IFERROR(C58/B22,""))</f>
        <v/>
      </c>
      <c r="F59" s="26" t="s">
        <v>341</v>
      </c>
    </row>
    <row r="60" spans="1:6" x14ac:dyDescent="0.25">
      <c r="A60" t="s">
        <v>342</v>
      </c>
      <c r="B60" s="40" t="str">
        <f>IFERROR(B22/B35,"")</f>
        <v/>
      </c>
      <c r="C60" s="40">
        <f>IF(C35&gt;0,IFERROR(B22/C35,""),"")</f>
        <v>0</v>
      </c>
    </row>
    <row r="61" spans="1:6" x14ac:dyDescent="0.25">
      <c r="A61" t="s">
        <v>343</v>
      </c>
      <c r="B61" s="31">
        <f>IFERROR(B58/B7,"")</f>
        <v>0</v>
      </c>
      <c r="C61" s="31">
        <f>IF(C58="","",IFERROR(C58/B7,""))</f>
        <v>20210.933333333334</v>
      </c>
    </row>
    <row r="63" spans="1:6" x14ac:dyDescent="0.25">
      <c r="A63" s="34" t="s">
        <v>344</v>
      </c>
      <c r="B63" s="35"/>
      <c r="C63" s="35"/>
      <c r="D63" s="35"/>
      <c r="E63" s="35"/>
      <c r="F63" s="35"/>
    </row>
    <row r="64" spans="1:6" x14ac:dyDescent="0.25">
      <c r="A64" t="s">
        <v>345</v>
      </c>
      <c r="B64" s="31">
        <f>IFERROR(B22*Assumptions!$B$20,"")</f>
        <v>0</v>
      </c>
    </row>
    <row r="65" spans="1:2" x14ac:dyDescent="0.25">
      <c r="A65" t="s">
        <v>346</v>
      </c>
      <c r="B65" s="31">
        <f>IF(C58="","",IFERROR(PV(Assumptions!$B$22/12,Assumptions!$B$23*12,-C58/Assumptions!$B$21/12),""))</f>
        <v>2626002.1086741714</v>
      </c>
    </row>
    <row r="66" spans="1:2" x14ac:dyDescent="0.25">
      <c r="A66" s="42" t="s">
        <v>347</v>
      </c>
      <c r="B66" s="31">
        <f>IFERROR(MIN(B64,B65),"")</f>
        <v>0</v>
      </c>
    </row>
    <row r="67" spans="1:2" x14ac:dyDescent="0.25">
      <c r="A67" t="s">
        <v>348</v>
      </c>
      <c r="B67" s="31">
        <f>IFERROR(B22-B66,"")</f>
        <v>0</v>
      </c>
    </row>
    <row r="68" spans="1:2" x14ac:dyDescent="0.25">
      <c r="A68" t="s">
        <v>349</v>
      </c>
      <c r="B68" s="31">
        <f>IFERROR(-PMT(Assumptions!$B$22/12,Assumptions!$B$23*12,B66)*12,"")</f>
        <v>0</v>
      </c>
    </row>
    <row r="69" spans="1:2" x14ac:dyDescent="0.25">
      <c r="A69" t="s">
        <v>350</v>
      </c>
      <c r="B69" s="40" t="str">
        <f>IFERROR(C58/B68,"")</f>
        <v/>
      </c>
    </row>
    <row r="70" spans="1:2" x14ac:dyDescent="0.25">
      <c r="A70" t="s">
        <v>351</v>
      </c>
      <c r="B70" s="31">
        <f>IFERROR(C58-B68,"")</f>
        <v>242531.20000000001</v>
      </c>
    </row>
    <row r="71" spans="1:2" x14ac:dyDescent="0.25">
      <c r="A71" t="s">
        <v>352</v>
      </c>
      <c r="B71" s="39" t="str">
        <f>IFERROR(B70/B67,"")</f>
        <v/>
      </c>
    </row>
    <row r="73" spans="1:2" x14ac:dyDescent="0.25">
      <c r="A73" s="26" t="s">
        <v>353</v>
      </c>
    </row>
  </sheetData>
  <hyperlinks>
    <hyperlink ref="A3" r:id="rId1" xr:uid="{00000000-0004-0000-2400-000000000000}"/>
  </hyperlinks>
  <pageMargins left="0.75" right="0.75" top="1" bottom="1" header="0.5" footer="0.5"/>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F75"/>
  <sheetViews>
    <sheetView showGridLines="0" workbookViewId="0">
      <pane ySplit="5" topLeftCell="A6" activePane="bottomLeft" state="frozen"/>
      <selection pane="bottomLeft"/>
    </sheetView>
  </sheetViews>
  <sheetFormatPr defaultRowHeight="15" x14ac:dyDescent="0.25"/>
  <cols>
    <col min="1" max="1" width="38" customWidth="1"/>
    <col min="2" max="5" width="16" customWidth="1"/>
    <col min="6" max="6" width="48" customWidth="1"/>
    <col min="7" max="7" width="12" customWidth="1"/>
  </cols>
  <sheetData>
    <row r="1" spans="1:3" ht="19.5" x14ac:dyDescent="0.3">
      <c r="A1" s="1" t="s">
        <v>196</v>
      </c>
    </row>
    <row r="2" spans="1:3" x14ac:dyDescent="0.25">
      <c r="A2" s="32" t="s">
        <v>479</v>
      </c>
    </row>
    <row r="3" spans="1:3" x14ac:dyDescent="0.25">
      <c r="A3" s="33" t="s">
        <v>271</v>
      </c>
      <c r="B3" s="26" t="s">
        <v>272</v>
      </c>
    </row>
    <row r="4" spans="1:3" x14ac:dyDescent="0.25">
      <c r="A4" s="47" t="s">
        <v>480</v>
      </c>
    </row>
    <row r="6" spans="1:3" x14ac:dyDescent="0.25">
      <c r="A6" s="34" t="s">
        <v>273</v>
      </c>
      <c r="B6" s="35"/>
      <c r="C6" s="35"/>
    </row>
    <row r="7" spans="1:3" x14ac:dyDescent="0.25">
      <c r="A7" t="s">
        <v>7</v>
      </c>
      <c r="B7" s="36">
        <v>18</v>
      </c>
    </row>
    <row r="8" spans="1:3" x14ac:dyDescent="0.25">
      <c r="A8" t="s">
        <v>274</v>
      </c>
      <c r="B8" s="36">
        <v>18404</v>
      </c>
    </row>
    <row r="9" spans="1:3" x14ac:dyDescent="0.25">
      <c r="A9" t="s">
        <v>10</v>
      </c>
      <c r="B9" s="36">
        <v>15751</v>
      </c>
    </row>
    <row r="10" spans="1:3" x14ac:dyDescent="0.25">
      <c r="A10" t="s">
        <v>275</v>
      </c>
      <c r="B10" s="37">
        <v>0.36199999999999999</v>
      </c>
    </row>
    <row r="11" spans="1:3" x14ac:dyDescent="0.25">
      <c r="A11" t="s">
        <v>8</v>
      </c>
    </row>
    <row r="12" spans="1:3" x14ac:dyDescent="0.25">
      <c r="A12" t="s">
        <v>276</v>
      </c>
    </row>
    <row r="13" spans="1:3" x14ac:dyDescent="0.25">
      <c r="A13" t="s">
        <v>278</v>
      </c>
    </row>
    <row r="14" spans="1:3" x14ac:dyDescent="0.25">
      <c r="A14" t="s">
        <v>280</v>
      </c>
    </row>
    <row r="15" spans="1:3" x14ac:dyDescent="0.25">
      <c r="A15" t="s">
        <v>281</v>
      </c>
    </row>
    <row r="16" spans="1:3" x14ac:dyDescent="0.25">
      <c r="A16" t="s">
        <v>283</v>
      </c>
      <c r="B16" s="31"/>
    </row>
    <row r="17" spans="1:6" x14ac:dyDescent="0.25">
      <c r="A17" t="s">
        <v>284</v>
      </c>
      <c r="B17" t="s">
        <v>199</v>
      </c>
    </row>
    <row r="18" spans="1:6" x14ac:dyDescent="0.25">
      <c r="A18" t="s">
        <v>285</v>
      </c>
      <c r="B18" t="s">
        <v>200</v>
      </c>
    </row>
    <row r="19" spans="1:6" x14ac:dyDescent="0.25">
      <c r="A19" t="s">
        <v>286</v>
      </c>
      <c r="B19" t="s">
        <v>51</v>
      </c>
    </row>
    <row r="21" spans="1:6" x14ac:dyDescent="0.25">
      <c r="A21" s="34" t="s">
        <v>287</v>
      </c>
      <c r="B21" s="35"/>
      <c r="C21" s="35"/>
    </row>
    <row r="22" spans="1:6" x14ac:dyDescent="0.25">
      <c r="A22" t="s">
        <v>11</v>
      </c>
      <c r="B22" s="28">
        <v>10000000</v>
      </c>
    </row>
    <row r="23" spans="1:6" x14ac:dyDescent="0.25">
      <c r="A23" t="s">
        <v>288</v>
      </c>
      <c r="B23" s="31">
        <f>IFERROR(B22/B7,"")</f>
        <v>555555.5555555555</v>
      </c>
    </row>
    <row r="24" spans="1:6" x14ac:dyDescent="0.25">
      <c r="A24" t="s">
        <v>289</v>
      </c>
      <c r="B24" s="38">
        <f>IFERROR(B22/B8,"")</f>
        <v>543.36013910019562</v>
      </c>
    </row>
    <row r="25" spans="1:6" x14ac:dyDescent="0.25">
      <c r="A25" t="s">
        <v>290</v>
      </c>
      <c r="B25" s="39"/>
    </row>
    <row r="26" spans="1:6" x14ac:dyDescent="0.25">
      <c r="A26" t="s">
        <v>291</v>
      </c>
      <c r="B26" s="40"/>
    </row>
    <row r="28" spans="1:6" x14ac:dyDescent="0.25">
      <c r="A28" s="34" t="s">
        <v>292</v>
      </c>
      <c r="B28" s="35"/>
      <c r="C28" s="35"/>
      <c r="D28" s="35"/>
      <c r="E28" s="35"/>
      <c r="F28" s="35"/>
    </row>
    <row r="29" spans="1:6" x14ac:dyDescent="0.25">
      <c r="A29" s="41" t="s">
        <v>293</v>
      </c>
      <c r="B29" s="41" t="s">
        <v>294</v>
      </c>
      <c r="C29" s="41" t="s">
        <v>295</v>
      </c>
      <c r="D29" s="41" t="s">
        <v>296</v>
      </c>
      <c r="E29" s="41" t="s">
        <v>297</v>
      </c>
      <c r="F29" s="41" t="s">
        <v>298</v>
      </c>
    </row>
    <row r="30" spans="1:6" x14ac:dyDescent="0.25">
      <c r="A30" t="s">
        <v>302</v>
      </c>
      <c r="B30" s="36">
        <v>12</v>
      </c>
      <c r="C30" s="49">
        <v>2400</v>
      </c>
      <c r="D30" s="31">
        <f>B30*C30</f>
        <v>28800</v>
      </c>
      <c r="E30" s="31">
        <f>D30*12</f>
        <v>345600</v>
      </c>
      <c r="F30" s="26" t="s">
        <v>408</v>
      </c>
    </row>
    <row r="31" spans="1:6" x14ac:dyDescent="0.25">
      <c r="A31" t="s">
        <v>301</v>
      </c>
      <c r="B31" s="36">
        <v>6</v>
      </c>
      <c r="C31" s="49">
        <v>3200</v>
      </c>
      <c r="D31" s="31">
        <f>B31*C31</f>
        <v>19200</v>
      </c>
      <c r="E31" s="31">
        <f>D31*12</f>
        <v>230400</v>
      </c>
      <c r="F31" s="26" t="s">
        <v>408</v>
      </c>
    </row>
    <row r="32" spans="1:6" x14ac:dyDescent="0.25">
      <c r="A32" s="42" t="s">
        <v>303</v>
      </c>
      <c r="B32" s="43">
        <f>SUM(B30:B31)</f>
        <v>18</v>
      </c>
      <c r="C32" s="44">
        <f>IFERROR(D32/B32,"")</f>
        <v>2666.6666666666665</v>
      </c>
      <c r="D32" s="44">
        <f>SUM(D30:D31)</f>
        <v>48000</v>
      </c>
      <c r="E32" s="44">
        <f>SUM(E30:E31)</f>
        <v>576000</v>
      </c>
    </row>
    <row r="33" spans="1:6" x14ac:dyDescent="0.25">
      <c r="A33" s="26" t="s">
        <v>481</v>
      </c>
    </row>
    <row r="35" spans="1:6" x14ac:dyDescent="0.25">
      <c r="A35" s="34" t="s">
        <v>304</v>
      </c>
      <c r="B35" s="35"/>
      <c r="C35" s="35"/>
      <c r="D35" s="35"/>
      <c r="E35" s="35"/>
      <c r="F35" s="35"/>
    </row>
    <row r="36" spans="1:6" x14ac:dyDescent="0.25">
      <c r="A36" s="45"/>
      <c r="B36" s="45" t="s">
        <v>305</v>
      </c>
      <c r="C36" s="45" t="s">
        <v>306</v>
      </c>
      <c r="D36" s="45"/>
      <c r="E36" s="45"/>
      <c r="F36" s="45" t="s">
        <v>307</v>
      </c>
    </row>
    <row r="37" spans="1:6" x14ac:dyDescent="0.25">
      <c r="A37" t="s">
        <v>308</v>
      </c>
      <c r="B37" s="31"/>
      <c r="C37" s="31">
        <f>E32</f>
        <v>576000</v>
      </c>
      <c r="F37" s="26" t="s">
        <v>411</v>
      </c>
    </row>
    <row r="38" spans="1:6" x14ac:dyDescent="0.25">
      <c r="A38" t="s">
        <v>310</v>
      </c>
      <c r="B38" s="31">
        <v>0</v>
      </c>
      <c r="C38" s="28">
        <v>0</v>
      </c>
    </row>
    <row r="39" spans="1:6" x14ac:dyDescent="0.25">
      <c r="A39" s="42" t="s">
        <v>311</v>
      </c>
      <c r="B39" s="31">
        <f>B37+B38</f>
        <v>0</v>
      </c>
      <c r="C39" s="31">
        <f>C37+C38</f>
        <v>576000</v>
      </c>
    </row>
    <row r="40" spans="1:6" x14ac:dyDescent="0.25">
      <c r="A40" t="s">
        <v>312</v>
      </c>
      <c r="B40" s="31">
        <f>-B37*0.03</f>
        <v>0</v>
      </c>
      <c r="C40" s="31">
        <f>-C37*Assumptions!$B$3</f>
        <v>-17280</v>
      </c>
      <c r="F40" s="26" t="s">
        <v>313</v>
      </c>
    </row>
    <row r="41" spans="1:6" x14ac:dyDescent="0.25">
      <c r="A41" s="42" t="s">
        <v>314</v>
      </c>
      <c r="B41" s="44">
        <f>B39+B40</f>
        <v>0</v>
      </c>
      <c r="C41" s="44">
        <f>C39+C40</f>
        <v>558720</v>
      </c>
    </row>
    <row r="43" spans="1:6" x14ac:dyDescent="0.25">
      <c r="A43" s="34" t="s">
        <v>315</v>
      </c>
      <c r="B43" s="35"/>
      <c r="C43" s="35"/>
      <c r="D43" s="35"/>
      <c r="E43" s="35"/>
      <c r="F43" s="35"/>
    </row>
    <row r="44" spans="1:6" x14ac:dyDescent="0.25">
      <c r="A44" s="45" t="s">
        <v>316</v>
      </c>
      <c r="B44" s="45" t="s">
        <v>305</v>
      </c>
      <c r="C44" s="45" t="s">
        <v>317</v>
      </c>
      <c r="D44" s="45" t="s">
        <v>306</v>
      </c>
      <c r="E44" s="45" t="s">
        <v>318</v>
      </c>
      <c r="F44" s="45" t="s">
        <v>307</v>
      </c>
    </row>
    <row r="45" spans="1:6" x14ac:dyDescent="0.25">
      <c r="A45" t="s">
        <v>319</v>
      </c>
      <c r="B45" s="31"/>
      <c r="C45" s="31">
        <f>B22*Assumptions!$B$17</f>
        <v>115000</v>
      </c>
      <c r="D45" s="46">
        <f>C45</f>
        <v>115000</v>
      </c>
      <c r="E45" s="31" t="str">
        <f t="shared" ref="E45:E53" si="0">IF(ISNUMBER(B45),D45-B45,"")</f>
        <v/>
      </c>
      <c r="F45" s="26" t="s">
        <v>482</v>
      </c>
    </row>
    <row r="46" spans="1:6" x14ac:dyDescent="0.25">
      <c r="A46" t="s">
        <v>321</v>
      </c>
      <c r="B46" s="31"/>
      <c r="C46" s="31">
        <f>B7*Assumptions!$B$5+B8*Assumptions!$B$6</f>
        <v>22004</v>
      </c>
      <c r="D46" s="46">
        <f t="shared" ref="D46:D52" si="1">IF(ISNUMBER(B46),MAX(B46,C46),C46)</f>
        <v>22004</v>
      </c>
      <c r="E46" s="31" t="str">
        <f t="shared" si="0"/>
        <v/>
      </c>
      <c r="F46" s="26" t="s">
        <v>322</v>
      </c>
    </row>
    <row r="47" spans="1:6" x14ac:dyDescent="0.25">
      <c r="A47" t="s">
        <v>323</v>
      </c>
      <c r="B47" s="31"/>
      <c r="C47" s="31">
        <f>C41*Assumptions!$B$4</f>
        <v>27936</v>
      </c>
      <c r="D47" s="46">
        <f t="shared" si="1"/>
        <v>27936</v>
      </c>
      <c r="E47" s="31" t="str">
        <f t="shared" si="0"/>
        <v/>
      </c>
      <c r="F47" s="26" t="s">
        <v>324</v>
      </c>
    </row>
    <row r="48" spans="1:6" x14ac:dyDescent="0.25">
      <c r="A48" t="s">
        <v>325</v>
      </c>
      <c r="B48" s="31"/>
      <c r="C48" s="31">
        <f>B7*Assumptions!$B$7</f>
        <v>21600</v>
      </c>
      <c r="D48" s="46">
        <f t="shared" si="1"/>
        <v>21600</v>
      </c>
      <c r="E48" s="31" t="str">
        <f t="shared" si="0"/>
        <v/>
      </c>
      <c r="F48" s="26" t="s">
        <v>326</v>
      </c>
    </row>
    <row r="49" spans="1:6" x14ac:dyDescent="0.25">
      <c r="A49" t="s">
        <v>327</v>
      </c>
      <c r="B49" s="31"/>
      <c r="C49" s="31">
        <f>B7*Assumptions!$B$11</f>
        <v>28800</v>
      </c>
      <c r="D49" s="46">
        <f t="shared" si="1"/>
        <v>28800</v>
      </c>
      <c r="E49" s="31" t="str">
        <f t="shared" si="0"/>
        <v/>
      </c>
      <c r="F49" s="26" t="s">
        <v>328</v>
      </c>
    </row>
    <row r="50" spans="1:6" x14ac:dyDescent="0.25">
      <c r="A50" t="s">
        <v>329</v>
      </c>
      <c r="B50" s="31"/>
      <c r="C50" s="31">
        <f>B7*Assumptions!$B$12</f>
        <v>7200</v>
      </c>
      <c r="D50" s="46">
        <f t="shared" si="1"/>
        <v>7200</v>
      </c>
      <c r="E50" s="31" t="str">
        <f t="shared" si="0"/>
        <v/>
      </c>
      <c r="F50" s="26" t="s">
        <v>330</v>
      </c>
    </row>
    <row r="51" spans="1:6" x14ac:dyDescent="0.25">
      <c r="A51" t="s">
        <v>331</v>
      </c>
      <c r="B51" s="31"/>
      <c r="C51" s="31">
        <f>B7*Assumptions!$B$13</f>
        <v>4500</v>
      </c>
      <c r="D51" s="46">
        <f t="shared" si="1"/>
        <v>4500</v>
      </c>
      <c r="E51" s="31" t="str">
        <f t="shared" si="0"/>
        <v/>
      </c>
      <c r="F51" s="26" t="s">
        <v>332</v>
      </c>
    </row>
    <row r="52" spans="1:6" x14ac:dyDescent="0.25">
      <c r="A52" t="s">
        <v>333</v>
      </c>
      <c r="B52" s="31"/>
      <c r="C52" s="31">
        <f>B7*Assumptions!$B$14</f>
        <v>5400</v>
      </c>
      <c r="D52" s="46">
        <f t="shared" si="1"/>
        <v>5400</v>
      </c>
      <c r="E52" s="31" t="str">
        <f t="shared" si="0"/>
        <v/>
      </c>
      <c r="F52" s="26" t="s">
        <v>330</v>
      </c>
    </row>
    <row r="53" spans="1:6" x14ac:dyDescent="0.25">
      <c r="A53" s="42" t="s">
        <v>334</v>
      </c>
      <c r="B53" s="42"/>
      <c r="C53" s="44">
        <f>SUM(C45:C52)</f>
        <v>232440</v>
      </c>
      <c r="D53" s="44">
        <f>SUM(D45:D52)</f>
        <v>232440</v>
      </c>
      <c r="E53" s="44" t="str">
        <f t="shared" si="0"/>
        <v/>
      </c>
      <c r="F53" s="26" t="s">
        <v>413</v>
      </c>
    </row>
    <row r="54" spans="1:6" x14ac:dyDescent="0.25">
      <c r="A54" t="s">
        <v>336</v>
      </c>
      <c r="B54" s="31">
        <f>IFERROR(B53/B7,"")</f>
        <v>0</v>
      </c>
      <c r="C54" s="31">
        <f>IFERROR(C53/B7,"")</f>
        <v>12913.333333333334</v>
      </c>
      <c r="D54" s="31">
        <f>IFERROR(D53/B7,"")</f>
        <v>12913.333333333334</v>
      </c>
    </row>
    <row r="55" spans="1:6" x14ac:dyDescent="0.25">
      <c r="A55" t="s">
        <v>337</v>
      </c>
      <c r="B55" s="39" t="str">
        <f>IFERROR(B53/B41,"")</f>
        <v/>
      </c>
      <c r="C55" s="39">
        <f>IFERROR(C53/C41,"")</f>
        <v>0.41602233676975947</v>
      </c>
      <c r="D55" s="39">
        <f>IF(C37&gt;0,IFERROR(D53/C41,""),"")</f>
        <v>0.41602233676975947</v>
      </c>
    </row>
    <row r="56" spans="1:6" x14ac:dyDescent="0.25">
      <c r="A56" s="42" t="s">
        <v>18</v>
      </c>
      <c r="B56" s="47" t="str">
        <f>IF(ISNUMBER(B53),IF(D53&gt;B53*(1+Assumptions!$B$24),"OM EXPENSES LIGHT","OM expenses reasonable"),"OM expenses not published")</f>
        <v>OM expenses not published</v>
      </c>
    </row>
    <row r="58" spans="1:6" x14ac:dyDescent="0.25">
      <c r="A58" s="34" t="s">
        <v>338</v>
      </c>
      <c r="B58" s="35"/>
      <c r="C58" s="35"/>
      <c r="D58" s="35"/>
      <c r="E58" s="35"/>
      <c r="F58" s="35"/>
    </row>
    <row r="59" spans="1:6" x14ac:dyDescent="0.25">
      <c r="A59" s="45"/>
      <c r="B59" s="45" t="s">
        <v>305</v>
      </c>
      <c r="C59" s="45" t="s">
        <v>306</v>
      </c>
      <c r="D59" s="45"/>
      <c r="E59" s="45"/>
      <c r="F59" s="45" t="s">
        <v>307</v>
      </c>
    </row>
    <row r="60" spans="1:6" x14ac:dyDescent="0.25">
      <c r="A60" s="42" t="s">
        <v>339</v>
      </c>
      <c r="B60" s="42"/>
      <c r="C60" s="44">
        <f>IF(C37&gt;0,C41-D53,"")</f>
        <v>326280</v>
      </c>
    </row>
    <row r="61" spans="1:6" x14ac:dyDescent="0.25">
      <c r="A61" s="42" t="s">
        <v>340</v>
      </c>
      <c r="B61" s="39">
        <f>IFERROR(B60/B22,"")</f>
        <v>0</v>
      </c>
      <c r="C61" s="39">
        <f>IF(C60="","",IFERROR(C60/B22,""))</f>
        <v>3.2627999999999997E-2</v>
      </c>
      <c r="F61" s="26" t="s">
        <v>341</v>
      </c>
    </row>
    <row r="62" spans="1:6" x14ac:dyDescent="0.25">
      <c r="A62" t="s">
        <v>342</v>
      </c>
      <c r="B62" s="40" t="str">
        <f>IFERROR(B22/B37,"")</f>
        <v/>
      </c>
      <c r="C62" s="40">
        <f>IF(C37&gt;0,IFERROR(B22/C37,""),"")</f>
        <v>17.361111111111111</v>
      </c>
    </row>
    <row r="63" spans="1:6" x14ac:dyDescent="0.25">
      <c r="A63" t="s">
        <v>343</v>
      </c>
      <c r="B63" s="31">
        <f>IFERROR(B60/B7,"")</f>
        <v>0</v>
      </c>
      <c r="C63" s="31">
        <f>IF(C60="","",IFERROR(C60/B7,""))</f>
        <v>18126.666666666668</v>
      </c>
    </row>
    <row r="65" spans="1:6" x14ac:dyDescent="0.25">
      <c r="A65" s="34" t="s">
        <v>344</v>
      </c>
      <c r="B65" s="35"/>
      <c r="C65" s="35"/>
      <c r="D65" s="35"/>
      <c r="E65" s="35"/>
      <c r="F65" s="35"/>
    </row>
    <row r="66" spans="1:6" x14ac:dyDescent="0.25">
      <c r="A66" t="s">
        <v>345</v>
      </c>
      <c r="B66" s="31">
        <f>IFERROR(B22*Assumptions!$B$20,"")</f>
        <v>6000000</v>
      </c>
    </row>
    <row r="67" spans="1:6" x14ac:dyDescent="0.25">
      <c r="A67" t="s">
        <v>346</v>
      </c>
      <c r="B67" s="31">
        <f>IF(C60="","",IFERROR(PV(Assumptions!$B$22/12,Assumptions!$B$23*12,-C60/Assumptions!$B$21/12),""))</f>
        <v>3532790.7008179096</v>
      </c>
    </row>
    <row r="68" spans="1:6" x14ac:dyDescent="0.25">
      <c r="A68" s="42" t="s">
        <v>347</v>
      </c>
      <c r="B68" s="31">
        <f>IFERROR(MIN(B66,B67),"")</f>
        <v>3532790.7008179096</v>
      </c>
    </row>
    <row r="69" spans="1:6" x14ac:dyDescent="0.25">
      <c r="A69" t="s">
        <v>348</v>
      </c>
      <c r="B69" s="31">
        <f>IFERROR(B22-B68,"")</f>
        <v>6467209.2991820909</v>
      </c>
    </row>
    <row r="70" spans="1:6" x14ac:dyDescent="0.25">
      <c r="A70" t="s">
        <v>349</v>
      </c>
      <c r="B70" s="31">
        <f>IFERROR(-PMT(Assumptions!$B$22/12,Assumptions!$B$23*12,B68)*12,"")</f>
        <v>261023.99999999919</v>
      </c>
    </row>
    <row r="71" spans="1:6" x14ac:dyDescent="0.25">
      <c r="A71" t="s">
        <v>350</v>
      </c>
      <c r="B71" s="40">
        <f>IFERROR(C60/B70,"")</f>
        <v>1.250000000000004</v>
      </c>
    </row>
    <row r="72" spans="1:6" x14ac:dyDescent="0.25">
      <c r="A72" t="s">
        <v>351</v>
      </c>
      <c r="B72" s="31">
        <f>IFERROR(C60-B70,"")</f>
        <v>65256.000000000815</v>
      </c>
    </row>
    <row r="73" spans="1:6" x14ac:dyDescent="0.25">
      <c r="A73" t="s">
        <v>352</v>
      </c>
      <c r="B73" s="39">
        <f>IFERROR(B72/B69,"")</f>
        <v>1.00902873219603E-2</v>
      </c>
    </row>
    <row r="75" spans="1:6" x14ac:dyDescent="0.25">
      <c r="A75" s="26" t="s">
        <v>353</v>
      </c>
    </row>
  </sheetData>
  <hyperlinks>
    <hyperlink ref="A3" r:id="rId1" xr:uid="{00000000-0004-0000-2500-000000000000}"/>
  </hyperlinks>
  <pageMargins left="0.75" right="0.75" top="1" bottom="1" header="0.5" footer="0.5"/>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F74"/>
  <sheetViews>
    <sheetView showGridLines="0" workbookViewId="0">
      <pane ySplit="5" topLeftCell="A6" activePane="bottomLeft" state="frozen"/>
      <selection pane="bottomLeft"/>
    </sheetView>
  </sheetViews>
  <sheetFormatPr defaultRowHeight="15" x14ac:dyDescent="0.25"/>
  <cols>
    <col min="1" max="1" width="38" customWidth="1"/>
    <col min="2" max="5" width="16" customWidth="1"/>
    <col min="6" max="6" width="48" customWidth="1"/>
    <col min="7" max="7" width="12" customWidth="1"/>
  </cols>
  <sheetData>
    <row r="1" spans="1:3" ht="19.5" x14ac:dyDescent="0.3">
      <c r="A1" s="1" t="s">
        <v>202</v>
      </c>
    </row>
    <row r="2" spans="1:3" x14ac:dyDescent="0.25">
      <c r="A2" s="32" t="s">
        <v>483</v>
      </c>
    </row>
    <row r="3" spans="1:3" x14ac:dyDescent="0.25">
      <c r="A3" s="33" t="s">
        <v>271</v>
      </c>
      <c r="B3" s="26" t="s">
        <v>272</v>
      </c>
    </row>
    <row r="4" spans="1:3" x14ac:dyDescent="0.25">
      <c r="A4" s="47" t="s">
        <v>466</v>
      </c>
    </row>
    <row r="6" spans="1:3" x14ac:dyDescent="0.25">
      <c r="A6" s="34" t="s">
        <v>273</v>
      </c>
      <c r="B6" s="35"/>
      <c r="C6" s="35"/>
    </row>
    <row r="7" spans="1:3" x14ac:dyDescent="0.25">
      <c r="A7" t="s">
        <v>7</v>
      </c>
      <c r="B7" s="36">
        <v>10</v>
      </c>
    </row>
    <row r="8" spans="1:3" x14ac:dyDescent="0.25">
      <c r="A8" t="s">
        <v>274</v>
      </c>
      <c r="B8" s="36">
        <v>8800</v>
      </c>
    </row>
    <row r="9" spans="1:3" x14ac:dyDescent="0.25">
      <c r="A9" t="s">
        <v>10</v>
      </c>
      <c r="B9" s="36">
        <v>7841</v>
      </c>
    </row>
    <row r="10" spans="1:3" x14ac:dyDescent="0.25">
      <c r="A10" t="s">
        <v>275</v>
      </c>
      <c r="B10" s="37">
        <v>0.18</v>
      </c>
    </row>
    <row r="11" spans="1:3" x14ac:dyDescent="0.25">
      <c r="A11" t="s">
        <v>8</v>
      </c>
      <c r="B11">
        <v>1959</v>
      </c>
    </row>
    <row r="12" spans="1:3" x14ac:dyDescent="0.25">
      <c r="A12" t="s">
        <v>276</v>
      </c>
      <c r="B12" t="s">
        <v>355</v>
      </c>
    </row>
    <row r="13" spans="1:3" x14ac:dyDescent="0.25">
      <c r="A13" t="s">
        <v>278</v>
      </c>
      <c r="B13" t="s">
        <v>484</v>
      </c>
    </row>
    <row r="14" spans="1:3" x14ac:dyDescent="0.25">
      <c r="A14" t="s">
        <v>280</v>
      </c>
    </row>
    <row r="15" spans="1:3" x14ac:dyDescent="0.25">
      <c r="A15" t="s">
        <v>281</v>
      </c>
      <c r="B15" t="s">
        <v>485</v>
      </c>
    </row>
    <row r="16" spans="1:3" x14ac:dyDescent="0.25">
      <c r="A16" t="s">
        <v>283</v>
      </c>
      <c r="B16" s="31">
        <v>6403666</v>
      </c>
    </row>
    <row r="17" spans="1:6" x14ac:dyDescent="0.25">
      <c r="A17" t="s">
        <v>284</v>
      </c>
      <c r="B17" t="s">
        <v>199</v>
      </c>
    </row>
    <row r="18" spans="1:6" x14ac:dyDescent="0.25">
      <c r="A18" t="s">
        <v>285</v>
      </c>
      <c r="B18" t="s">
        <v>204</v>
      </c>
    </row>
    <row r="19" spans="1:6" x14ac:dyDescent="0.25">
      <c r="A19" t="s">
        <v>286</v>
      </c>
      <c r="B19" t="s">
        <v>51</v>
      </c>
    </row>
    <row r="21" spans="1:6" x14ac:dyDescent="0.25">
      <c r="A21" s="34" t="s">
        <v>287</v>
      </c>
      <c r="B21" s="35"/>
      <c r="C21" s="35"/>
    </row>
    <row r="22" spans="1:6" x14ac:dyDescent="0.25">
      <c r="A22" t="s">
        <v>11</v>
      </c>
      <c r="B22" s="28">
        <v>5800000</v>
      </c>
    </row>
    <row r="23" spans="1:6" x14ac:dyDescent="0.25">
      <c r="A23" t="s">
        <v>288</v>
      </c>
      <c r="B23" s="31">
        <f>IFERROR(B22/B7,"")</f>
        <v>580000</v>
      </c>
    </row>
    <row r="24" spans="1:6" x14ac:dyDescent="0.25">
      <c r="A24" t="s">
        <v>289</v>
      </c>
      <c r="B24" s="38">
        <f>IFERROR(B22/B8,"")</f>
        <v>659.09090909090912</v>
      </c>
    </row>
    <row r="25" spans="1:6" x14ac:dyDescent="0.25">
      <c r="A25" t="s">
        <v>290</v>
      </c>
      <c r="B25" s="39"/>
    </row>
    <row r="26" spans="1:6" x14ac:dyDescent="0.25">
      <c r="A26" t="s">
        <v>291</v>
      </c>
      <c r="B26" s="40"/>
    </row>
    <row r="28" spans="1:6" x14ac:dyDescent="0.25">
      <c r="A28" s="34" t="s">
        <v>292</v>
      </c>
      <c r="B28" s="35"/>
      <c r="C28" s="35"/>
      <c r="D28" s="35"/>
      <c r="E28" s="35"/>
      <c r="F28" s="35"/>
    </row>
    <row r="29" spans="1:6" x14ac:dyDescent="0.25">
      <c r="A29" s="41" t="s">
        <v>293</v>
      </c>
      <c r="B29" s="41" t="s">
        <v>294</v>
      </c>
      <c r="C29" s="41" t="s">
        <v>295</v>
      </c>
      <c r="D29" s="41" t="s">
        <v>296</v>
      </c>
      <c r="E29" s="41" t="s">
        <v>297</v>
      </c>
      <c r="F29" s="41" t="s">
        <v>298</v>
      </c>
    </row>
    <row r="30" spans="1:6" x14ac:dyDescent="0.25">
      <c r="A30" t="s">
        <v>486</v>
      </c>
      <c r="B30" s="36">
        <v>6</v>
      </c>
      <c r="C30" s="49">
        <v>2400</v>
      </c>
      <c r="D30" s="31">
        <f>B30*C30</f>
        <v>14400</v>
      </c>
      <c r="E30" s="31">
        <f>D30*12</f>
        <v>172800</v>
      </c>
      <c r="F30" s="26" t="s">
        <v>408</v>
      </c>
    </row>
    <row r="31" spans="1:6" x14ac:dyDescent="0.25">
      <c r="A31" t="s">
        <v>487</v>
      </c>
      <c r="B31" s="36">
        <v>4</v>
      </c>
      <c r="C31" s="49">
        <v>3200</v>
      </c>
      <c r="D31" s="31">
        <f>B31*C31</f>
        <v>12800</v>
      </c>
      <c r="E31" s="31">
        <f>D31*12</f>
        <v>153600</v>
      </c>
      <c r="F31" s="26" t="s">
        <v>408</v>
      </c>
    </row>
    <row r="32" spans="1:6" x14ac:dyDescent="0.25">
      <c r="A32" s="42" t="s">
        <v>303</v>
      </c>
      <c r="B32" s="43">
        <f>SUM(B30:B31)</f>
        <v>10</v>
      </c>
      <c r="C32" s="44">
        <f>IFERROR(D32/B32,"")</f>
        <v>2720</v>
      </c>
      <c r="D32" s="44">
        <f>SUM(D30:D31)</f>
        <v>27200</v>
      </c>
      <c r="E32" s="44">
        <f>SUM(E30:E31)</f>
        <v>326400</v>
      </c>
    </row>
    <row r="34" spans="1:6" x14ac:dyDescent="0.25">
      <c r="A34" s="34" t="s">
        <v>304</v>
      </c>
      <c r="B34" s="35"/>
      <c r="C34" s="35"/>
      <c r="D34" s="35"/>
      <c r="E34" s="35"/>
      <c r="F34" s="35"/>
    </row>
    <row r="35" spans="1:6" x14ac:dyDescent="0.25">
      <c r="A35" s="45"/>
      <c r="B35" s="45" t="s">
        <v>305</v>
      </c>
      <c r="C35" s="45" t="s">
        <v>306</v>
      </c>
      <c r="D35" s="45"/>
      <c r="E35" s="45"/>
      <c r="F35" s="45" t="s">
        <v>307</v>
      </c>
    </row>
    <row r="36" spans="1:6" x14ac:dyDescent="0.25">
      <c r="A36" t="s">
        <v>308</v>
      </c>
      <c r="B36" s="31"/>
      <c r="C36" s="31">
        <f>E32</f>
        <v>326400</v>
      </c>
      <c r="F36" s="26" t="s">
        <v>411</v>
      </c>
    </row>
    <row r="37" spans="1:6" x14ac:dyDescent="0.25">
      <c r="A37" t="s">
        <v>310</v>
      </c>
      <c r="B37" s="31">
        <v>0</v>
      </c>
      <c r="C37" s="28">
        <v>0</v>
      </c>
    </row>
    <row r="38" spans="1:6" x14ac:dyDescent="0.25">
      <c r="A38" s="42" t="s">
        <v>311</v>
      </c>
      <c r="B38" s="31">
        <f>B36+B37</f>
        <v>0</v>
      </c>
      <c r="C38" s="31">
        <f>C36+C37</f>
        <v>326400</v>
      </c>
    </row>
    <row r="39" spans="1:6" x14ac:dyDescent="0.25">
      <c r="A39" t="s">
        <v>312</v>
      </c>
      <c r="B39" s="31">
        <f>-B36*0.03</f>
        <v>0</v>
      </c>
      <c r="C39" s="31">
        <f>-C36*Assumptions!$B$3</f>
        <v>-9792</v>
      </c>
      <c r="F39" s="26" t="s">
        <v>313</v>
      </c>
    </row>
    <row r="40" spans="1:6" x14ac:dyDescent="0.25">
      <c r="A40" s="42" t="s">
        <v>314</v>
      </c>
      <c r="B40" s="44">
        <f>B38+B39</f>
        <v>0</v>
      </c>
      <c r="C40" s="44">
        <f>C38+C39</f>
        <v>316608</v>
      </c>
    </row>
    <row r="42" spans="1:6" x14ac:dyDescent="0.25">
      <c r="A42" s="34" t="s">
        <v>315</v>
      </c>
      <c r="B42" s="35"/>
      <c r="C42" s="35"/>
      <c r="D42" s="35"/>
      <c r="E42" s="35"/>
      <c r="F42" s="35"/>
    </row>
    <row r="43" spans="1:6" x14ac:dyDescent="0.25">
      <c r="A43" s="45" t="s">
        <v>316</v>
      </c>
      <c r="B43" s="45" t="s">
        <v>305</v>
      </c>
      <c r="C43" s="45" t="s">
        <v>317</v>
      </c>
      <c r="D43" s="45" t="s">
        <v>306</v>
      </c>
      <c r="E43" s="45" t="s">
        <v>318</v>
      </c>
      <c r="F43" s="45" t="s">
        <v>307</v>
      </c>
    </row>
    <row r="44" spans="1:6" x14ac:dyDescent="0.25">
      <c r="A44" t="s">
        <v>319</v>
      </c>
      <c r="B44" s="31"/>
      <c r="C44" s="31">
        <f>B22*Assumptions!$B$17</f>
        <v>66700</v>
      </c>
      <c r="D44" s="46">
        <f>C44</f>
        <v>66700</v>
      </c>
      <c r="E44" s="31" t="str">
        <f t="shared" ref="E44:E52" si="0">IF(ISNUMBER(B44),D44-B44,"")</f>
        <v/>
      </c>
      <c r="F44" s="26" t="s">
        <v>482</v>
      </c>
    </row>
    <row r="45" spans="1:6" x14ac:dyDescent="0.25">
      <c r="A45" t="s">
        <v>321</v>
      </c>
      <c r="B45" s="31"/>
      <c r="C45" s="31">
        <f>B7*Assumptions!$B$5+B8*Assumptions!$B$6</f>
        <v>10800</v>
      </c>
      <c r="D45" s="46">
        <f t="shared" ref="D45:D51" si="1">IF(ISNUMBER(B45),MAX(B45,C45),C45)</f>
        <v>10800</v>
      </c>
      <c r="E45" s="31" t="str">
        <f t="shared" si="0"/>
        <v/>
      </c>
      <c r="F45" s="26" t="s">
        <v>322</v>
      </c>
    </row>
    <row r="46" spans="1:6" x14ac:dyDescent="0.25">
      <c r="A46" t="s">
        <v>323</v>
      </c>
      <c r="B46" s="31"/>
      <c r="C46" s="31">
        <f>C40*Assumptions!$B$4</f>
        <v>15830.400000000001</v>
      </c>
      <c r="D46" s="46">
        <f t="shared" si="1"/>
        <v>15830.400000000001</v>
      </c>
      <c r="E46" s="31" t="str">
        <f t="shared" si="0"/>
        <v/>
      </c>
      <c r="F46" s="26" t="s">
        <v>324</v>
      </c>
    </row>
    <row r="47" spans="1:6" x14ac:dyDescent="0.25">
      <c r="A47" t="s">
        <v>325</v>
      </c>
      <c r="B47" s="31"/>
      <c r="C47" s="31">
        <f>B7*Assumptions!$B$7</f>
        <v>12000</v>
      </c>
      <c r="D47" s="46">
        <f t="shared" si="1"/>
        <v>12000</v>
      </c>
      <c r="E47" s="31" t="str">
        <f t="shared" si="0"/>
        <v/>
      </c>
      <c r="F47" s="26" t="s">
        <v>326</v>
      </c>
    </row>
    <row r="48" spans="1:6" x14ac:dyDescent="0.25">
      <c r="A48" t="s">
        <v>327</v>
      </c>
      <c r="B48" s="31"/>
      <c r="C48" s="31">
        <f>B7*Assumptions!$B$11</f>
        <v>16000</v>
      </c>
      <c r="D48" s="46">
        <f t="shared" si="1"/>
        <v>16000</v>
      </c>
      <c r="E48" s="31" t="str">
        <f t="shared" si="0"/>
        <v/>
      </c>
      <c r="F48" s="26" t="s">
        <v>328</v>
      </c>
    </row>
    <row r="49" spans="1:6" x14ac:dyDescent="0.25">
      <c r="A49" t="s">
        <v>329</v>
      </c>
      <c r="B49" s="31"/>
      <c r="C49" s="31">
        <f>B7*Assumptions!$B$12</f>
        <v>4000</v>
      </c>
      <c r="D49" s="46">
        <f t="shared" si="1"/>
        <v>4000</v>
      </c>
      <c r="E49" s="31" t="str">
        <f t="shared" si="0"/>
        <v/>
      </c>
      <c r="F49" s="26" t="s">
        <v>330</v>
      </c>
    </row>
    <row r="50" spans="1:6" x14ac:dyDescent="0.25">
      <c r="A50" t="s">
        <v>331</v>
      </c>
      <c r="B50" s="31"/>
      <c r="C50" s="31">
        <f>B7*Assumptions!$B$13</f>
        <v>2500</v>
      </c>
      <c r="D50" s="46">
        <f t="shared" si="1"/>
        <v>2500</v>
      </c>
      <c r="E50" s="31" t="str">
        <f t="shared" si="0"/>
        <v/>
      </c>
      <c r="F50" s="26" t="s">
        <v>332</v>
      </c>
    </row>
    <row r="51" spans="1:6" x14ac:dyDescent="0.25">
      <c r="A51" t="s">
        <v>333</v>
      </c>
      <c r="B51" s="31"/>
      <c r="C51" s="31">
        <f>B7*Assumptions!$B$14</f>
        <v>3000</v>
      </c>
      <c r="D51" s="46">
        <f t="shared" si="1"/>
        <v>3000</v>
      </c>
      <c r="E51" s="31" t="str">
        <f t="shared" si="0"/>
        <v/>
      </c>
      <c r="F51" s="26" t="s">
        <v>330</v>
      </c>
    </row>
    <row r="52" spans="1:6" x14ac:dyDescent="0.25">
      <c r="A52" s="42" t="s">
        <v>334</v>
      </c>
      <c r="B52" s="42"/>
      <c r="C52" s="44">
        <f>SUM(C44:C51)</f>
        <v>130830.39999999999</v>
      </c>
      <c r="D52" s="44">
        <f>SUM(D44:D51)</f>
        <v>130830.39999999999</v>
      </c>
      <c r="E52" s="44" t="str">
        <f t="shared" si="0"/>
        <v/>
      </c>
      <c r="F52" s="26" t="s">
        <v>413</v>
      </c>
    </row>
    <row r="53" spans="1:6" x14ac:dyDescent="0.25">
      <c r="A53" t="s">
        <v>336</v>
      </c>
      <c r="B53" s="31">
        <f>IFERROR(B52/B7,"")</f>
        <v>0</v>
      </c>
      <c r="C53" s="31">
        <f>IFERROR(C52/B7,"")</f>
        <v>13083.039999999999</v>
      </c>
      <c r="D53" s="31">
        <f>IFERROR(D52/B7,"")</f>
        <v>13083.039999999999</v>
      </c>
    </row>
    <row r="54" spans="1:6" x14ac:dyDescent="0.25">
      <c r="A54" t="s">
        <v>337</v>
      </c>
      <c r="B54" s="39" t="str">
        <f>IFERROR(B52/B40,"")</f>
        <v/>
      </c>
      <c r="C54" s="39">
        <f>IFERROR(C52/C40,"")</f>
        <v>0.41322518698200927</v>
      </c>
      <c r="D54" s="39">
        <f>IF(C36&gt;0,IFERROR(D52/C40,""),"")</f>
        <v>0.41322518698200927</v>
      </c>
    </row>
    <row r="55" spans="1:6" x14ac:dyDescent="0.25">
      <c r="A55" s="42" t="s">
        <v>18</v>
      </c>
      <c r="B55" s="47" t="str">
        <f>IF(ISNUMBER(B52),IF(D52&gt;B52*(1+Assumptions!$B$24),"OM EXPENSES LIGHT","OM expenses reasonable"),"OM expenses not published")</f>
        <v>OM expenses not published</v>
      </c>
    </row>
    <row r="57" spans="1:6" x14ac:dyDescent="0.25">
      <c r="A57" s="34" t="s">
        <v>338</v>
      </c>
      <c r="B57" s="35"/>
      <c r="C57" s="35"/>
      <c r="D57" s="35"/>
      <c r="E57" s="35"/>
      <c r="F57" s="35"/>
    </row>
    <row r="58" spans="1:6" x14ac:dyDescent="0.25">
      <c r="A58" s="45"/>
      <c r="B58" s="45" t="s">
        <v>305</v>
      </c>
      <c r="C58" s="45" t="s">
        <v>306</v>
      </c>
      <c r="D58" s="45"/>
      <c r="E58" s="45"/>
      <c r="F58" s="45" t="s">
        <v>307</v>
      </c>
    </row>
    <row r="59" spans="1:6" x14ac:dyDescent="0.25">
      <c r="A59" s="42" t="s">
        <v>339</v>
      </c>
      <c r="B59" s="42"/>
      <c r="C59" s="44">
        <f>IF(C36&gt;0,C40-D52,"")</f>
        <v>185777.6</v>
      </c>
    </row>
    <row r="60" spans="1:6" x14ac:dyDescent="0.25">
      <c r="A60" s="42" t="s">
        <v>340</v>
      </c>
      <c r="B60" s="39">
        <f>IFERROR(B59/B22,"")</f>
        <v>0</v>
      </c>
      <c r="C60" s="39">
        <f>IF(C59="","",IFERROR(C59/B22,""))</f>
        <v>3.2030620689655176E-2</v>
      </c>
      <c r="F60" s="26" t="s">
        <v>341</v>
      </c>
    </row>
    <row r="61" spans="1:6" x14ac:dyDescent="0.25">
      <c r="A61" t="s">
        <v>342</v>
      </c>
      <c r="B61" s="40" t="str">
        <f>IFERROR(B22/B36,"")</f>
        <v/>
      </c>
      <c r="C61" s="40">
        <f>IF(C36&gt;0,IFERROR(B22/C36,""),"")</f>
        <v>17.769607843137255</v>
      </c>
    </row>
    <row r="62" spans="1:6" x14ac:dyDescent="0.25">
      <c r="A62" t="s">
        <v>343</v>
      </c>
      <c r="B62" s="31">
        <f>IFERROR(B59/B7,"")</f>
        <v>0</v>
      </c>
      <c r="C62" s="31">
        <f>IF(C59="","",IFERROR(C59/B7,""))</f>
        <v>18577.760000000002</v>
      </c>
    </row>
    <row r="64" spans="1:6" x14ac:dyDescent="0.25">
      <c r="A64" s="34" t="s">
        <v>344</v>
      </c>
      <c r="B64" s="35"/>
      <c r="C64" s="35"/>
      <c r="D64" s="35"/>
      <c r="E64" s="35"/>
      <c r="F64" s="35"/>
    </row>
    <row r="65" spans="1:2" x14ac:dyDescent="0.25">
      <c r="A65" t="s">
        <v>345</v>
      </c>
      <c r="B65" s="31">
        <f>IFERROR(B22*Assumptions!$B$20,"")</f>
        <v>3480000</v>
      </c>
    </row>
    <row r="66" spans="1:2" x14ac:dyDescent="0.25">
      <c r="A66" t="s">
        <v>346</v>
      </c>
      <c r="B66" s="31">
        <f>IF(C59="","",IFERROR(PV(Assumptions!$B$22/12,Assumptions!$B$23*12,-C59/Assumptions!$B$21/12),""))</f>
        <v>2011503.5481803031</v>
      </c>
    </row>
    <row r="67" spans="1:2" x14ac:dyDescent="0.25">
      <c r="A67" s="42" t="s">
        <v>347</v>
      </c>
      <c r="B67" s="31">
        <f>IFERROR(MIN(B65,B66),"")</f>
        <v>2011503.5481803031</v>
      </c>
    </row>
    <row r="68" spans="1:2" x14ac:dyDescent="0.25">
      <c r="A68" t="s">
        <v>348</v>
      </c>
      <c r="B68" s="31">
        <f>IFERROR(B22-B67,"")</f>
        <v>3788496.4518196969</v>
      </c>
    </row>
    <row r="69" spans="1:2" x14ac:dyDescent="0.25">
      <c r="A69" t="s">
        <v>349</v>
      </c>
      <c r="B69" s="31">
        <f>IFERROR(-PMT(Assumptions!$B$22/12,Assumptions!$B$23*12,B67)*12,"")</f>
        <v>148622.07999999955</v>
      </c>
    </row>
    <row r="70" spans="1:2" x14ac:dyDescent="0.25">
      <c r="A70" t="s">
        <v>350</v>
      </c>
      <c r="B70" s="40">
        <f>IFERROR(C59/B69,"")</f>
        <v>1.2500000000000038</v>
      </c>
    </row>
    <row r="71" spans="1:2" x14ac:dyDescent="0.25">
      <c r="A71" t="s">
        <v>351</v>
      </c>
      <c r="B71" s="31">
        <f>IFERROR(C59-B69,"")</f>
        <v>37155.520000000455</v>
      </c>
    </row>
    <row r="72" spans="1:2" x14ac:dyDescent="0.25">
      <c r="A72" t="s">
        <v>352</v>
      </c>
      <c r="B72" s="39">
        <f>IFERROR(B71/B68,"")</f>
        <v>9.8074580437191253E-3</v>
      </c>
    </row>
    <row r="74" spans="1:2" x14ac:dyDescent="0.25">
      <c r="A74" s="26" t="s">
        <v>353</v>
      </c>
    </row>
  </sheetData>
  <hyperlinks>
    <hyperlink ref="A3" r:id="rId1" xr:uid="{00000000-0004-0000-2600-000000000000}"/>
  </hyperlinks>
  <pageMargins left="0.75" right="0.75" top="1" bottom="1" header="0.5" footer="0.5"/>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F74"/>
  <sheetViews>
    <sheetView showGridLines="0" workbookViewId="0">
      <pane ySplit="5" topLeftCell="A6" activePane="bottomLeft" state="frozen"/>
      <selection pane="bottomLeft"/>
    </sheetView>
  </sheetViews>
  <sheetFormatPr defaultRowHeight="15" x14ac:dyDescent="0.25"/>
  <cols>
    <col min="1" max="1" width="38" customWidth="1"/>
    <col min="2" max="5" width="16" customWidth="1"/>
    <col min="6" max="6" width="48" customWidth="1"/>
    <col min="7" max="7" width="12" customWidth="1"/>
  </cols>
  <sheetData>
    <row r="1" spans="1:3" ht="19.5" x14ac:dyDescent="0.3">
      <c r="A1" s="1" t="s">
        <v>205</v>
      </c>
    </row>
    <row r="2" spans="1:3" x14ac:dyDescent="0.25">
      <c r="A2" s="32" t="s">
        <v>391</v>
      </c>
    </row>
    <row r="3" spans="1:3" x14ac:dyDescent="0.25">
      <c r="A3" s="33" t="s">
        <v>271</v>
      </c>
      <c r="B3" s="26" t="s">
        <v>272</v>
      </c>
    </row>
    <row r="4" spans="1:3" x14ac:dyDescent="0.25">
      <c r="A4" s="47" t="s">
        <v>466</v>
      </c>
    </row>
    <row r="6" spans="1:3" x14ac:dyDescent="0.25">
      <c r="A6" s="34" t="s">
        <v>273</v>
      </c>
      <c r="B6" s="35"/>
      <c r="C6" s="35"/>
    </row>
    <row r="7" spans="1:3" x14ac:dyDescent="0.25">
      <c r="A7" t="s">
        <v>7</v>
      </c>
      <c r="B7" s="36">
        <v>10</v>
      </c>
    </row>
    <row r="8" spans="1:3" x14ac:dyDescent="0.25">
      <c r="A8" t="s">
        <v>274</v>
      </c>
      <c r="B8" s="36">
        <v>9444</v>
      </c>
    </row>
    <row r="9" spans="1:3" x14ac:dyDescent="0.25">
      <c r="A9" t="s">
        <v>10</v>
      </c>
      <c r="B9" s="36">
        <v>6970</v>
      </c>
    </row>
    <row r="10" spans="1:3" x14ac:dyDescent="0.25">
      <c r="A10" t="s">
        <v>275</v>
      </c>
      <c r="B10" s="37">
        <v>0.16</v>
      </c>
    </row>
    <row r="11" spans="1:3" x14ac:dyDescent="0.25">
      <c r="A11" t="s">
        <v>8</v>
      </c>
      <c r="B11">
        <v>1958</v>
      </c>
    </row>
    <row r="12" spans="1:3" x14ac:dyDescent="0.25">
      <c r="A12" t="s">
        <v>276</v>
      </c>
      <c r="B12" t="s">
        <v>355</v>
      </c>
    </row>
    <row r="13" spans="1:3" x14ac:dyDescent="0.25">
      <c r="A13" t="s">
        <v>278</v>
      </c>
      <c r="B13" t="s">
        <v>488</v>
      </c>
    </row>
    <row r="14" spans="1:3" x14ac:dyDescent="0.25">
      <c r="A14" t="s">
        <v>280</v>
      </c>
      <c r="B14" t="s">
        <v>34</v>
      </c>
    </row>
    <row r="15" spans="1:3" x14ac:dyDescent="0.25">
      <c r="A15" t="s">
        <v>281</v>
      </c>
      <c r="B15" t="s">
        <v>489</v>
      </c>
    </row>
    <row r="16" spans="1:3" x14ac:dyDescent="0.25">
      <c r="A16" t="s">
        <v>283</v>
      </c>
      <c r="B16" s="31">
        <v>3580514</v>
      </c>
    </row>
    <row r="17" spans="1:6" x14ac:dyDescent="0.25">
      <c r="A17" t="s">
        <v>284</v>
      </c>
      <c r="B17" t="s">
        <v>206</v>
      </c>
    </row>
    <row r="18" spans="1:6" x14ac:dyDescent="0.25">
      <c r="A18" t="s">
        <v>285</v>
      </c>
      <c r="B18" t="s">
        <v>207</v>
      </c>
    </row>
    <row r="19" spans="1:6" x14ac:dyDescent="0.25">
      <c r="A19" t="s">
        <v>286</v>
      </c>
      <c r="B19" t="s">
        <v>65</v>
      </c>
    </row>
    <row r="21" spans="1:6" x14ac:dyDescent="0.25">
      <c r="A21" s="34" t="s">
        <v>287</v>
      </c>
      <c r="B21" s="35"/>
      <c r="C21" s="35"/>
    </row>
    <row r="22" spans="1:6" x14ac:dyDescent="0.25">
      <c r="A22" t="s">
        <v>11</v>
      </c>
      <c r="B22" s="28">
        <v>3795000</v>
      </c>
    </row>
    <row r="23" spans="1:6" x14ac:dyDescent="0.25">
      <c r="A23" t="s">
        <v>288</v>
      </c>
      <c r="B23" s="31">
        <f>IFERROR(B22/B7,"")</f>
        <v>379500</v>
      </c>
    </row>
    <row r="24" spans="1:6" x14ac:dyDescent="0.25">
      <c r="A24" t="s">
        <v>289</v>
      </c>
      <c r="B24" s="38">
        <f>IFERROR(B22/B8,"")</f>
        <v>401.84243964421853</v>
      </c>
    </row>
    <row r="25" spans="1:6" x14ac:dyDescent="0.25">
      <c r="A25" t="s">
        <v>290</v>
      </c>
      <c r="B25" s="39"/>
    </row>
    <row r="26" spans="1:6" x14ac:dyDescent="0.25">
      <c r="A26" t="s">
        <v>291</v>
      </c>
      <c r="B26" s="40"/>
    </row>
    <row r="28" spans="1:6" x14ac:dyDescent="0.25">
      <c r="A28" s="34" t="s">
        <v>292</v>
      </c>
      <c r="B28" s="35"/>
      <c r="C28" s="35"/>
      <c r="D28" s="35"/>
      <c r="E28" s="35"/>
      <c r="F28" s="35"/>
    </row>
    <row r="29" spans="1:6" x14ac:dyDescent="0.25">
      <c r="A29" s="41" t="s">
        <v>293</v>
      </c>
      <c r="B29" s="41" t="s">
        <v>294</v>
      </c>
      <c r="C29" s="41" t="s">
        <v>295</v>
      </c>
      <c r="D29" s="41" t="s">
        <v>296</v>
      </c>
      <c r="E29" s="41" t="s">
        <v>297</v>
      </c>
      <c r="F29" s="41" t="s">
        <v>298</v>
      </c>
    </row>
    <row r="30" spans="1:6" x14ac:dyDescent="0.25">
      <c r="A30" t="s">
        <v>302</v>
      </c>
      <c r="B30" s="36">
        <v>6</v>
      </c>
      <c r="C30" s="49">
        <v>2400</v>
      </c>
      <c r="D30" s="31">
        <f>B30*C30</f>
        <v>14400</v>
      </c>
      <c r="E30" s="31">
        <f>D30*12</f>
        <v>172800</v>
      </c>
      <c r="F30" s="26" t="s">
        <v>408</v>
      </c>
    </row>
    <row r="31" spans="1:6" x14ac:dyDescent="0.25">
      <c r="A31" t="s">
        <v>299</v>
      </c>
      <c r="B31" s="36">
        <v>4</v>
      </c>
      <c r="C31" s="49">
        <v>3200</v>
      </c>
      <c r="D31" s="31">
        <f>B31*C31</f>
        <v>12800</v>
      </c>
      <c r="E31" s="31">
        <f>D31*12</f>
        <v>153600</v>
      </c>
      <c r="F31" s="26" t="s">
        <v>408</v>
      </c>
    </row>
    <row r="32" spans="1:6" x14ac:dyDescent="0.25">
      <c r="A32" s="42" t="s">
        <v>303</v>
      </c>
      <c r="B32" s="43">
        <f>SUM(B30:B31)</f>
        <v>10</v>
      </c>
      <c r="C32" s="44">
        <f>IFERROR(D32/B32,"")</f>
        <v>2720</v>
      </c>
      <c r="D32" s="44">
        <f>SUM(D30:D31)</f>
        <v>27200</v>
      </c>
      <c r="E32" s="44">
        <f>SUM(E30:E31)</f>
        <v>326400</v>
      </c>
    </row>
    <row r="34" spans="1:6" x14ac:dyDescent="0.25">
      <c r="A34" s="34" t="s">
        <v>304</v>
      </c>
      <c r="B34" s="35"/>
      <c r="C34" s="35"/>
      <c r="D34" s="35"/>
      <c r="E34" s="35"/>
      <c r="F34" s="35"/>
    </row>
    <row r="35" spans="1:6" x14ac:dyDescent="0.25">
      <c r="A35" s="45"/>
      <c r="B35" s="45" t="s">
        <v>305</v>
      </c>
      <c r="C35" s="45" t="s">
        <v>306</v>
      </c>
      <c r="D35" s="45"/>
      <c r="E35" s="45"/>
      <c r="F35" s="45" t="s">
        <v>307</v>
      </c>
    </row>
    <row r="36" spans="1:6" x14ac:dyDescent="0.25">
      <c r="A36" t="s">
        <v>308</v>
      </c>
      <c r="B36" s="31"/>
      <c r="C36" s="31">
        <f>E32</f>
        <v>326400</v>
      </c>
      <c r="F36" s="26" t="s">
        <v>411</v>
      </c>
    </row>
    <row r="37" spans="1:6" x14ac:dyDescent="0.25">
      <c r="A37" t="s">
        <v>310</v>
      </c>
      <c r="B37" s="31">
        <v>0</v>
      </c>
      <c r="C37" s="28">
        <v>0</v>
      </c>
    </row>
    <row r="38" spans="1:6" x14ac:dyDescent="0.25">
      <c r="A38" s="42" t="s">
        <v>311</v>
      </c>
      <c r="B38" s="31">
        <f>B36+B37</f>
        <v>0</v>
      </c>
      <c r="C38" s="31">
        <f>C36+C37</f>
        <v>326400</v>
      </c>
    </row>
    <row r="39" spans="1:6" x14ac:dyDescent="0.25">
      <c r="A39" t="s">
        <v>312</v>
      </c>
      <c r="B39" s="31">
        <f>-B36*0.03</f>
        <v>0</v>
      </c>
      <c r="C39" s="31">
        <f>-C36*Assumptions!$B$3</f>
        <v>-9792</v>
      </c>
      <c r="F39" s="26" t="s">
        <v>313</v>
      </c>
    </row>
    <row r="40" spans="1:6" x14ac:dyDescent="0.25">
      <c r="A40" s="42" t="s">
        <v>314</v>
      </c>
      <c r="B40" s="44">
        <f>B38+B39</f>
        <v>0</v>
      </c>
      <c r="C40" s="44">
        <f>C38+C39</f>
        <v>316608</v>
      </c>
    </row>
    <row r="42" spans="1:6" x14ac:dyDescent="0.25">
      <c r="A42" s="34" t="s">
        <v>315</v>
      </c>
      <c r="B42" s="35"/>
      <c r="C42" s="35"/>
      <c r="D42" s="35"/>
      <c r="E42" s="35"/>
      <c r="F42" s="35"/>
    </row>
    <row r="43" spans="1:6" x14ac:dyDescent="0.25">
      <c r="A43" s="45" t="s">
        <v>316</v>
      </c>
      <c r="B43" s="45" t="s">
        <v>305</v>
      </c>
      <c r="C43" s="45" t="s">
        <v>317</v>
      </c>
      <c r="D43" s="45" t="s">
        <v>306</v>
      </c>
      <c r="E43" s="45" t="s">
        <v>318</v>
      </c>
      <c r="F43" s="45" t="s">
        <v>307</v>
      </c>
    </row>
    <row r="44" spans="1:6" x14ac:dyDescent="0.25">
      <c r="A44" t="s">
        <v>319</v>
      </c>
      <c r="B44" s="31"/>
      <c r="C44" s="31">
        <f>B22*Assumptions!$B$18</f>
        <v>45540</v>
      </c>
      <c r="D44" s="46">
        <f>C44</f>
        <v>45540</v>
      </c>
      <c r="E44" s="31" t="str">
        <f t="shared" ref="E44:E52" si="0">IF(ISNUMBER(B44),D44-B44,"")</f>
        <v/>
      </c>
      <c r="F44" s="26" t="s">
        <v>394</v>
      </c>
    </row>
    <row r="45" spans="1:6" x14ac:dyDescent="0.25">
      <c r="A45" t="s">
        <v>321</v>
      </c>
      <c r="B45" s="31"/>
      <c r="C45" s="31">
        <f>B7*Assumptions!$B$5+B8*Assumptions!$B$6</f>
        <v>11444</v>
      </c>
      <c r="D45" s="46">
        <f t="shared" ref="D45:D51" si="1">IF(ISNUMBER(B45),MAX(B45,C45),C45)</f>
        <v>11444</v>
      </c>
      <c r="E45" s="31" t="str">
        <f t="shared" si="0"/>
        <v/>
      </c>
      <c r="F45" s="26" t="s">
        <v>322</v>
      </c>
    </row>
    <row r="46" spans="1:6" x14ac:dyDescent="0.25">
      <c r="A46" t="s">
        <v>323</v>
      </c>
      <c r="B46" s="31"/>
      <c r="C46" s="31">
        <f>C40*Assumptions!$B$4</f>
        <v>15830.400000000001</v>
      </c>
      <c r="D46" s="46">
        <f t="shared" si="1"/>
        <v>15830.400000000001</v>
      </c>
      <c r="E46" s="31" t="str">
        <f t="shared" si="0"/>
        <v/>
      </c>
      <c r="F46" s="26" t="s">
        <v>324</v>
      </c>
    </row>
    <row r="47" spans="1:6" x14ac:dyDescent="0.25">
      <c r="A47" t="s">
        <v>325</v>
      </c>
      <c r="B47" s="31"/>
      <c r="C47" s="31">
        <f>B7*Assumptions!$B$7</f>
        <v>12000</v>
      </c>
      <c r="D47" s="46">
        <f t="shared" si="1"/>
        <v>12000</v>
      </c>
      <c r="E47" s="31" t="str">
        <f t="shared" si="0"/>
        <v/>
      </c>
      <c r="F47" s="26" t="s">
        <v>326</v>
      </c>
    </row>
    <row r="48" spans="1:6" x14ac:dyDescent="0.25">
      <c r="A48" t="s">
        <v>327</v>
      </c>
      <c r="B48" s="31"/>
      <c r="C48" s="31">
        <f>B7*Assumptions!$B$11</f>
        <v>16000</v>
      </c>
      <c r="D48" s="46">
        <f t="shared" si="1"/>
        <v>16000</v>
      </c>
      <c r="E48" s="31" t="str">
        <f t="shared" si="0"/>
        <v/>
      </c>
      <c r="F48" s="26" t="s">
        <v>328</v>
      </c>
    </row>
    <row r="49" spans="1:6" x14ac:dyDescent="0.25">
      <c r="A49" t="s">
        <v>329</v>
      </c>
      <c r="B49" s="31"/>
      <c r="C49" s="31">
        <f>B7*Assumptions!$B$12</f>
        <v>4000</v>
      </c>
      <c r="D49" s="46">
        <f t="shared" si="1"/>
        <v>4000</v>
      </c>
      <c r="E49" s="31" t="str">
        <f t="shared" si="0"/>
        <v/>
      </c>
      <c r="F49" s="26" t="s">
        <v>330</v>
      </c>
    </row>
    <row r="50" spans="1:6" x14ac:dyDescent="0.25">
      <c r="A50" t="s">
        <v>331</v>
      </c>
      <c r="B50" s="31"/>
      <c r="C50" s="31">
        <f>B7*Assumptions!$B$13</f>
        <v>2500</v>
      </c>
      <c r="D50" s="46">
        <f t="shared" si="1"/>
        <v>2500</v>
      </c>
      <c r="E50" s="31" t="str">
        <f t="shared" si="0"/>
        <v/>
      </c>
      <c r="F50" s="26" t="s">
        <v>332</v>
      </c>
    </row>
    <row r="51" spans="1:6" x14ac:dyDescent="0.25">
      <c r="A51" t="s">
        <v>333</v>
      </c>
      <c r="B51" s="31"/>
      <c r="C51" s="31">
        <f>B7*Assumptions!$B$14</f>
        <v>3000</v>
      </c>
      <c r="D51" s="46">
        <f t="shared" si="1"/>
        <v>3000</v>
      </c>
      <c r="E51" s="31" t="str">
        <f t="shared" si="0"/>
        <v/>
      </c>
      <c r="F51" s="26" t="s">
        <v>330</v>
      </c>
    </row>
    <row r="52" spans="1:6" x14ac:dyDescent="0.25">
      <c r="A52" s="42" t="s">
        <v>334</v>
      </c>
      <c r="B52" s="42"/>
      <c r="C52" s="44">
        <f>SUM(C44:C51)</f>
        <v>110314.4</v>
      </c>
      <c r="D52" s="44">
        <f>SUM(D44:D51)</f>
        <v>110314.4</v>
      </c>
      <c r="E52" s="44" t="str">
        <f t="shared" si="0"/>
        <v/>
      </c>
      <c r="F52" s="26" t="s">
        <v>413</v>
      </c>
    </row>
    <row r="53" spans="1:6" x14ac:dyDescent="0.25">
      <c r="A53" t="s">
        <v>336</v>
      </c>
      <c r="B53" s="31">
        <f>IFERROR(B52/B7,"")</f>
        <v>0</v>
      </c>
      <c r="C53" s="31">
        <f>IFERROR(C52/B7,"")</f>
        <v>11031.439999999999</v>
      </c>
      <c r="D53" s="31">
        <f>IFERROR(D52/B7,"")</f>
        <v>11031.439999999999</v>
      </c>
    </row>
    <row r="54" spans="1:6" x14ac:dyDescent="0.25">
      <c r="A54" t="s">
        <v>337</v>
      </c>
      <c r="B54" s="39" t="str">
        <f>IFERROR(B52/B40,"")</f>
        <v/>
      </c>
      <c r="C54" s="39">
        <f>IFERROR(C52/C40,"")</f>
        <v>0.34842581362441882</v>
      </c>
      <c r="D54" s="39">
        <f>IF(C36&gt;0,IFERROR(D52/C40,""),"")</f>
        <v>0.34842581362441882</v>
      </c>
    </row>
    <row r="55" spans="1:6" x14ac:dyDescent="0.25">
      <c r="A55" s="42" t="s">
        <v>18</v>
      </c>
      <c r="B55" s="47" t="str">
        <f>IF(ISNUMBER(B52),IF(D52&gt;B52*(1+Assumptions!$B$24),"OM EXPENSES LIGHT","OM expenses reasonable"),"OM expenses not published")</f>
        <v>OM expenses not published</v>
      </c>
    </row>
    <row r="57" spans="1:6" x14ac:dyDescent="0.25">
      <c r="A57" s="34" t="s">
        <v>338</v>
      </c>
      <c r="B57" s="35"/>
      <c r="C57" s="35"/>
      <c r="D57" s="35"/>
      <c r="E57" s="35"/>
      <c r="F57" s="35"/>
    </row>
    <row r="58" spans="1:6" x14ac:dyDescent="0.25">
      <c r="A58" s="45"/>
      <c r="B58" s="45" t="s">
        <v>305</v>
      </c>
      <c r="C58" s="45" t="s">
        <v>306</v>
      </c>
      <c r="D58" s="45"/>
      <c r="E58" s="45"/>
      <c r="F58" s="45" t="s">
        <v>307</v>
      </c>
    </row>
    <row r="59" spans="1:6" x14ac:dyDescent="0.25">
      <c r="A59" s="42" t="s">
        <v>339</v>
      </c>
      <c r="B59" s="42"/>
      <c r="C59" s="44">
        <f>IF(C36&gt;0,C40-D52,"")</f>
        <v>206293.6</v>
      </c>
    </row>
    <row r="60" spans="1:6" x14ac:dyDescent="0.25">
      <c r="A60" s="42" t="s">
        <v>340</v>
      </c>
      <c r="B60" s="39">
        <f>IFERROR(B59/B22,"")</f>
        <v>0</v>
      </c>
      <c r="C60" s="39">
        <f>IF(C59="","",IFERROR(C59/B22,""))</f>
        <v>5.4359314888010539E-2</v>
      </c>
      <c r="F60" s="26" t="s">
        <v>341</v>
      </c>
    </row>
    <row r="61" spans="1:6" x14ac:dyDescent="0.25">
      <c r="A61" t="s">
        <v>342</v>
      </c>
      <c r="B61" s="40" t="str">
        <f>IFERROR(B22/B36,"")</f>
        <v/>
      </c>
      <c r="C61" s="40">
        <f>IF(C36&gt;0,IFERROR(B22/C36,""),"")</f>
        <v>11.626838235294118</v>
      </c>
    </row>
    <row r="62" spans="1:6" x14ac:dyDescent="0.25">
      <c r="A62" t="s">
        <v>343</v>
      </c>
      <c r="B62" s="31">
        <f>IFERROR(B59/B7,"")</f>
        <v>0</v>
      </c>
      <c r="C62" s="31">
        <f>IF(C59="","",IFERROR(C59/B7,""))</f>
        <v>20629.36</v>
      </c>
    </row>
    <row r="64" spans="1:6" x14ac:dyDescent="0.25">
      <c r="A64" s="34" t="s">
        <v>344</v>
      </c>
      <c r="B64" s="35"/>
      <c r="C64" s="35"/>
      <c r="D64" s="35"/>
      <c r="E64" s="35"/>
      <c r="F64" s="35"/>
    </row>
    <row r="65" spans="1:2" x14ac:dyDescent="0.25">
      <c r="A65" t="s">
        <v>345</v>
      </c>
      <c r="B65" s="31">
        <f>IFERROR(B22*Assumptions!$B$20,"")</f>
        <v>2277000</v>
      </c>
    </row>
    <row r="66" spans="1:2" x14ac:dyDescent="0.25">
      <c r="A66" t="s">
        <v>346</v>
      </c>
      <c r="B66" s="31">
        <f>IF(C59="","",IFERROR(PV(Assumptions!$B$22/12,Assumptions!$B$23*12,-C59/Assumptions!$B$21/12),""))</f>
        <v>2233640.1609606766</v>
      </c>
    </row>
    <row r="67" spans="1:2" x14ac:dyDescent="0.25">
      <c r="A67" s="42" t="s">
        <v>347</v>
      </c>
      <c r="B67" s="31">
        <f>IFERROR(MIN(B65,B66),"")</f>
        <v>2233640.1609606766</v>
      </c>
    </row>
    <row r="68" spans="1:2" x14ac:dyDescent="0.25">
      <c r="A68" t="s">
        <v>348</v>
      </c>
      <c r="B68" s="31">
        <f>IFERROR(B22-B67,"")</f>
        <v>1561359.8390393234</v>
      </c>
    </row>
    <row r="69" spans="1:2" x14ac:dyDescent="0.25">
      <c r="A69" t="s">
        <v>349</v>
      </c>
      <c r="B69" s="31">
        <f>IFERROR(-PMT(Assumptions!$B$22/12,Assumptions!$B$23*12,B67)*12,"")</f>
        <v>165034.87999999951</v>
      </c>
    </row>
    <row r="70" spans="1:2" x14ac:dyDescent="0.25">
      <c r="A70" t="s">
        <v>350</v>
      </c>
      <c r="B70" s="40">
        <f>IFERROR(C59/B69,"")</f>
        <v>1.2500000000000038</v>
      </c>
    </row>
    <row r="71" spans="1:2" x14ac:dyDescent="0.25">
      <c r="A71" t="s">
        <v>351</v>
      </c>
      <c r="B71" s="31">
        <f>IFERROR(C59-B69,"")</f>
        <v>41258.720000000496</v>
      </c>
    </row>
    <row r="72" spans="1:2" x14ac:dyDescent="0.25">
      <c r="A72" t="s">
        <v>352</v>
      </c>
      <c r="B72" s="39">
        <f>IFERROR(B71/B68,"")</f>
        <v>2.6424863102272596E-2</v>
      </c>
    </row>
    <row r="74" spans="1:2" x14ac:dyDescent="0.25">
      <c r="A74" s="26" t="s">
        <v>353</v>
      </c>
    </row>
  </sheetData>
  <hyperlinks>
    <hyperlink ref="A3" r:id="rId1" xr:uid="{00000000-0004-0000-2700-000000000000}"/>
  </hyperlinks>
  <pageMargins left="0.75" right="0.75" top="1" bottom="1" header="0.5" footer="0.5"/>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F73"/>
  <sheetViews>
    <sheetView showGridLines="0" workbookViewId="0">
      <pane ySplit="5" topLeftCell="A6" activePane="bottomLeft" state="frozen"/>
      <selection pane="bottomLeft"/>
    </sheetView>
  </sheetViews>
  <sheetFormatPr defaultRowHeight="15" x14ac:dyDescent="0.25"/>
  <cols>
    <col min="1" max="1" width="38" customWidth="1"/>
    <col min="2" max="5" width="16" customWidth="1"/>
    <col min="6" max="6" width="48" customWidth="1"/>
    <col min="7" max="7" width="12" customWidth="1"/>
  </cols>
  <sheetData>
    <row r="1" spans="1:3" ht="19.5" x14ac:dyDescent="0.3">
      <c r="A1" s="1" t="s">
        <v>208</v>
      </c>
    </row>
    <row r="2" spans="1:3" x14ac:dyDescent="0.25">
      <c r="A2" s="32" t="s">
        <v>435</v>
      </c>
    </row>
    <row r="3" spans="1:3" x14ac:dyDescent="0.25">
      <c r="A3" s="33" t="s">
        <v>271</v>
      </c>
      <c r="B3" s="26" t="s">
        <v>272</v>
      </c>
    </row>
    <row r="4" spans="1:3" x14ac:dyDescent="0.25">
      <c r="A4" s="47" t="s">
        <v>490</v>
      </c>
    </row>
    <row r="6" spans="1:3" x14ac:dyDescent="0.25">
      <c r="A6" s="34" t="s">
        <v>273</v>
      </c>
      <c r="B6" s="35"/>
      <c r="C6" s="35"/>
    </row>
    <row r="7" spans="1:3" x14ac:dyDescent="0.25">
      <c r="A7" t="s">
        <v>7</v>
      </c>
      <c r="B7" s="36">
        <v>10</v>
      </c>
    </row>
    <row r="8" spans="1:3" x14ac:dyDescent="0.25">
      <c r="A8" t="s">
        <v>274</v>
      </c>
      <c r="B8" s="36">
        <v>4555</v>
      </c>
    </row>
    <row r="9" spans="1:3" x14ac:dyDescent="0.25">
      <c r="A9" t="s">
        <v>10</v>
      </c>
      <c r="B9" s="36">
        <v>11326</v>
      </c>
    </row>
    <row r="10" spans="1:3" x14ac:dyDescent="0.25">
      <c r="A10" t="s">
        <v>275</v>
      </c>
      <c r="B10" s="37">
        <v>0.26</v>
      </c>
    </row>
    <row r="11" spans="1:3" x14ac:dyDescent="0.25">
      <c r="A11" t="s">
        <v>8</v>
      </c>
      <c r="B11">
        <v>1939</v>
      </c>
    </row>
    <row r="12" spans="1:3" x14ac:dyDescent="0.25">
      <c r="A12" t="s">
        <v>276</v>
      </c>
      <c r="B12" t="s">
        <v>277</v>
      </c>
    </row>
    <row r="13" spans="1:3" x14ac:dyDescent="0.25">
      <c r="A13" t="s">
        <v>278</v>
      </c>
      <c r="B13" t="s">
        <v>491</v>
      </c>
    </row>
    <row r="14" spans="1:3" x14ac:dyDescent="0.25">
      <c r="A14" t="s">
        <v>280</v>
      </c>
      <c r="B14" t="s">
        <v>209</v>
      </c>
    </row>
    <row r="15" spans="1:3" x14ac:dyDescent="0.25">
      <c r="A15" t="s">
        <v>281</v>
      </c>
      <c r="B15" t="s">
        <v>492</v>
      </c>
    </row>
    <row r="16" spans="1:3" x14ac:dyDescent="0.25">
      <c r="A16" t="s">
        <v>283</v>
      </c>
      <c r="B16" s="31">
        <v>4875600</v>
      </c>
    </row>
    <row r="17" spans="1:6" x14ac:dyDescent="0.25">
      <c r="A17" t="s">
        <v>284</v>
      </c>
      <c r="B17" t="s">
        <v>193</v>
      </c>
    </row>
    <row r="18" spans="1:6" x14ac:dyDescent="0.25">
      <c r="A18" t="s">
        <v>285</v>
      </c>
      <c r="B18" t="s">
        <v>210</v>
      </c>
    </row>
    <row r="19" spans="1:6" x14ac:dyDescent="0.25">
      <c r="A19" t="s">
        <v>286</v>
      </c>
      <c r="B19" t="s">
        <v>44</v>
      </c>
    </row>
    <row r="21" spans="1:6" x14ac:dyDescent="0.25">
      <c r="A21" s="34" t="s">
        <v>287</v>
      </c>
      <c r="B21" s="35"/>
      <c r="C21" s="35"/>
    </row>
    <row r="22" spans="1:6" x14ac:dyDescent="0.25">
      <c r="A22" t="s">
        <v>11</v>
      </c>
      <c r="B22" s="28"/>
      <c r="C22" s="47" t="s">
        <v>473</v>
      </c>
    </row>
    <row r="23" spans="1:6" x14ac:dyDescent="0.25">
      <c r="A23" t="s">
        <v>288</v>
      </c>
      <c r="B23" s="31">
        <f>IFERROR(B22/B7,"")</f>
        <v>0</v>
      </c>
    </row>
    <row r="24" spans="1:6" x14ac:dyDescent="0.25">
      <c r="A24" t="s">
        <v>289</v>
      </c>
      <c r="B24" s="38">
        <f>IFERROR(B22/B8,"")</f>
        <v>0</v>
      </c>
    </row>
    <row r="25" spans="1:6" x14ac:dyDescent="0.25">
      <c r="A25" t="s">
        <v>290</v>
      </c>
      <c r="B25" s="39"/>
    </row>
    <row r="26" spans="1:6" x14ac:dyDescent="0.25">
      <c r="A26" t="s">
        <v>291</v>
      </c>
      <c r="B26" s="40"/>
    </row>
    <row r="28" spans="1:6" x14ac:dyDescent="0.25">
      <c r="A28" s="34" t="s">
        <v>292</v>
      </c>
      <c r="B28" s="35"/>
      <c r="C28" s="35"/>
      <c r="D28" s="35"/>
      <c r="E28" s="35"/>
      <c r="F28" s="35"/>
    </row>
    <row r="29" spans="1:6" x14ac:dyDescent="0.25">
      <c r="A29" s="41" t="s">
        <v>293</v>
      </c>
      <c r="B29" s="41" t="s">
        <v>294</v>
      </c>
      <c r="C29" s="41" t="s">
        <v>295</v>
      </c>
      <c r="D29" s="41" t="s">
        <v>296</v>
      </c>
      <c r="E29" s="41" t="s">
        <v>297</v>
      </c>
      <c r="F29" s="41" t="s">
        <v>298</v>
      </c>
    </row>
    <row r="30" spans="1:6" x14ac:dyDescent="0.25">
      <c r="A30" t="s">
        <v>493</v>
      </c>
      <c r="B30" s="36">
        <v>10</v>
      </c>
      <c r="C30" s="28">
        <v>2600</v>
      </c>
      <c r="D30" s="31">
        <f>B30*C30</f>
        <v>26000</v>
      </c>
      <c r="E30" s="31">
        <f>D30*12</f>
        <v>312000</v>
      </c>
      <c r="F30" s="26" t="s">
        <v>38</v>
      </c>
    </row>
    <row r="31" spans="1:6" x14ac:dyDescent="0.25">
      <c r="A31" s="42" t="s">
        <v>303</v>
      </c>
      <c r="B31" s="43">
        <f>SUM(B30:B30)</f>
        <v>10</v>
      </c>
      <c r="C31" s="44">
        <f>IFERROR(D31/B31,"")</f>
        <v>2600</v>
      </c>
      <c r="D31" s="44">
        <f>SUM(D30:D30)</f>
        <v>26000</v>
      </c>
      <c r="E31" s="44">
        <f>SUM(E30:E30)</f>
        <v>312000</v>
      </c>
    </row>
    <row r="33" spans="1:6" x14ac:dyDescent="0.25">
      <c r="A33" s="34" t="s">
        <v>304</v>
      </c>
      <c r="B33" s="35"/>
      <c r="C33" s="35"/>
      <c r="D33" s="35"/>
      <c r="E33" s="35"/>
      <c r="F33" s="35"/>
    </row>
    <row r="34" spans="1:6" x14ac:dyDescent="0.25">
      <c r="A34" s="45"/>
      <c r="B34" s="45" t="s">
        <v>305</v>
      </c>
      <c r="C34" s="45" t="s">
        <v>306</v>
      </c>
      <c r="D34" s="45"/>
      <c r="E34" s="45"/>
      <c r="F34" s="45" t="s">
        <v>307</v>
      </c>
    </row>
    <row r="35" spans="1:6" x14ac:dyDescent="0.25">
      <c r="A35" t="s">
        <v>308</v>
      </c>
      <c r="B35" s="31"/>
      <c r="C35" s="31">
        <f>E31</f>
        <v>312000</v>
      </c>
      <c r="F35" s="26" t="s">
        <v>411</v>
      </c>
    </row>
    <row r="36" spans="1:6" x14ac:dyDescent="0.25">
      <c r="A36" t="s">
        <v>310</v>
      </c>
      <c r="B36" s="31">
        <v>0</v>
      </c>
      <c r="C36" s="28">
        <v>0</v>
      </c>
    </row>
    <row r="37" spans="1:6" x14ac:dyDescent="0.25">
      <c r="A37" s="42" t="s">
        <v>311</v>
      </c>
      <c r="B37" s="31">
        <f>B35+B36</f>
        <v>0</v>
      </c>
      <c r="C37" s="31">
        <f>C35+C36</f>
        <v>312000</v>
      </c>
    </row>
    <row r="38" spans="1:6" x14ac:dyDescent="0.25">
      <c r="A38" t="s">
        <v>312</v>
      </c>
      <c r="B38" s="31">
        <f>-B35*0.03</f>
        <v>0</v>
      </c>
      <c r="C38" s="31">
        <f>-C35*Assumptions!$B$3</f>
        <v>-9360</v>
      </c>
      <c r="F38" s="26" t="s">
        <v>313</v>
      </c>
    </row>
    <row r="39" spans="1:6" x14ac:dyDescent="0.25">
      <c r="A39" s="42" t="s">
        <v>314</v>
      </c>
      <c r="B39" s="44">
        <f>B37+B38</f>
        <v>0</v>
      </c>
      <c r="C39" s="44">
        <f>C37+C38</f>
        <v>302640</v>
      </c>
    </row>
    <row r="41" spans="1:6" x14ac:dyDescent="0.25">
      <c r="A41" s="34" t="s">
        <v>315</v>
      </c>
      <c r="B41" s="35"/>
      <c r="C41" s="35"/>
      <c r="D41" s="35"/>
      <c r="E41" s="35"/>
      <c r="F41" s="35"/>
    </row>
    <row r="42" spans="1:6" x14ac:dyDescent="0.25">
      <c r="A42" s="45" t="s">
        <v>316</v>
      </c>
      <c r="B42" s="45" t="s">
        <v>305</v>
      </c>
      <c r="C42" s="45" t="s">
        <v>317</v>
      </c>
      <c r="D42" s="45" t="s">
        <v>306</v>
      </c>
      <c r="E42" s="45" t="s">
        <v>318</v>
      </c>
      <c r="F42" s="45" t="s">
        <v>307</v>
      </c>
    </row>
    <row r="43" spans="1:6" x14ac:dyDescent="0.25">
      <c r="A43" t="s">
        <v>319</v>
      </c>
      <c r="B43" s="31"/>
      <c r="C43" s="31">
        <f>B22*Assumptions!$B$18</f>
        <v>0</v>
      </c>
      <c r="D43" s="46">
        <f>C43</f>
        <v>0</v>
      </c>
      <c r="E43" s="31" t="str">
        <f t="shared" ref="E43:E51" si="0">IF(ISNUMBER(B43),D43-B43,"")</f>
        <v/>
      </c>
      <c r="F43" s="26" t="s">
        <v>394</v>
      </c>
    </row>
    <row r="44" spans="1:6" x14ac:dyDescent="0.25">
      <c r="A44" t="s">
        <v>321</v>
      </c>
      <c r="B44" s="31"/>
      <c r="C44" s="31">
        <f>B7*Assumptions!$B$5+B8*Assumptions!$B$6</f>
        <v>6555</v>
      </c>
      <c r="D44" s="46">
        <f t="shared" ref="D44:D50" si="1">IF(ISNUMBER(B44),MAX(B44,C44),C44)</f>
        <v>6555</v>
      </c>
      <c r="E44" s="31" t="str">
        <f t="shared" si="0"/>
        <v/>
      </c>
      <c r="F44" s="26" t="s">
        <v>322</v>
      </c>
    </row>
    <row r="45" spans="1:6" x14ac:dyDescent="0.25">
      <c r="A45" t="s">
        <v>323</v>
      </c>
      <c r="B45" s="31"/>
      <c r="C45" s="31">
        <f>C39*Assumptions!$B$4</f>
        <v>15132</v>
      </c>
      <c r="D45" s="46">
        <f t="shared" si="1"/>
        <v>15132</v>
      </c>
      <c r="E45" s="31" t="str">
        <f t="shared" si="0"/>
        <v/>
      </c>
      <c r="F45" s="26" t="s">
        <v>324</v>
      </c>
    </row>
    <row r="46" spans="1:6" x14ac:dyDescent="0.25">
      <c r="A46" t="s">
        <v>325</v>
      </c>
      <c r="B46" s="31"/>
      <c r="C46" s="31">
        <f>B7*Assumptions!$B$7</f>
        <v>12000</v>
      </c>
      <c r="D46" s="46">
        <f t="shared" si="1"/>
        <v>12000</v>
      </c>
      <c r="E46" s="31" t="str">
        <f t="shared" si="0"/>
        <v/>
      </c>
      <c r="F46" s="26" t="s">
        <v>326</v>
      </c>
    </row>
    <row r="47" spans="1:6" x14ac:dyDescent="0.25">
      <c r="A47" t="s">
        <v>327</v>
      </c>
      <c r="B47" s="31"/>
      <c r="C47" s="31">
        <f>B7*Assumptions!$B$11</f>
        <v>16000</v>
      </c>
      <c r="D47" s="46">
        <f t="shared" si="1"/>
        <v>16000</v>
      </c>
      <c r="E47" s="31" t="str">
        <f t="shared" si="0"/>
        <v/>
      </c>
      <c r="F47" s="26" t="s">
        <v>328</v>
      </c>
    </row>
    <row r="48" spans="1:6" x14ac:dyDescent="0.25">
      <c r="A48" t="s">
        <v>329</v>
      </c>
      <c r="B48" s="31"/>
      <c r="C48" s="31">
        <f>B7*Assumptions!$B$12</f>
        <v>4000</v>
      </c>
      <c r="D48" s="46">
        <f t="shared" si="1"/>
        <v>4000</v>
      </c>
      <c r="E48" s="31" t="str">
        <f t="shared" si="0"/>
        <v/>
      </c>
      <c r="F48" s="26" t="s">
        <v>330</v>
      </c>
    </row>
    <row r="49" spans="1:6" x14ac:dyDescent="0.25">
      <c r="A49" t="s">
        <v>331</v>
      </c>
      <c r="B49" s="31"/>
      <c r="C49" s="31">
        <f>B7*Assumptions!$B$13</f>
        <v>2500</v>
      </c>
      <c r="D49" s="46">
        <f t="shared" si="1"/>
        <v>2500</v>
      </c>
      <c r="E49" s="31" t="str">
        <f t="shared" si="0"/>
        <v/>
      </c>
      <c r="F49" s="26" t="s">
        <v>332</v>
      </c>
    </row>
    <row r="50" spans="1:6" x14ac:dyDescent="0.25">
      <c r="A50" t="s">
        <v>333</v>
      </c>
      <c r="B50" s="31"/>
      <c r="C50" s="31">
        <f>B7*Assumptions!$B$14</f>
        <v>3000</v>
      </c>
      <c r="D50" s="46">
        <f t="shared" si="1"/>
        <v>3000</v>
      </c>
      <c r="E50" s="31" t="str">
        <f t="shared" si="0"/>
        <v/>
      </c>
      <c r="F50" s="26" t="s">
        <v>330</v>
      </c>
    </row>
    <row r="51" spans="1:6" x14ac:dyDescent="0.25">
      <c r="A51" s="42" t="s">
        <v>334</v>
      </c>
      <c r="B51" s="42"/>
      <c r="C51" s="44">
        <f>SUM(C43:C50)</f>
        <v>59187</v>
      </c>
      <c r="D51" s="44">
        <f>SUM(D43:D50)</f>
        <v>59187</v>
      </c>
      <c r="E51" s="44" t="str">
        <f t="shared" si="0"/>
        <v/>
      </c>
      <c r="F51" s="26" t="s">
        <v>413</v>
      </c>
    </row>
    <row r="52" spans="1:6" x14ac:dyDescent="0.25">
      <c r="A52" t="s">
        <v>336</v>
      </c>
      <c r="B52" s="31">
        <f>IFERROR(B51/B7,"")</f>
        <v>0</v>
      </c>
      <c r="C52" s="31">
        <f>IFERROR(C51/B7,"")</f>
        <v>5918.7</v>
      </c>
      <c r="D52" s="31">
        <f>IFERROR(D51/B7,"")</f>
        <v>5918.7</v>
      </c>
    </row>
    <row r="53" spans="1:6" x14ac:dyDescent="0.25">
      <c r="A53" t="s">
        <v>337</v>
      </c>
      <c r="B53" s="39" t="str">
        <f>IFERROR(B51/B39,"")</f>
        <v/>
      </c>
      <c r="C53" s="39">
        <f>IFERROR(C51/C39,"")</f>
        <v>0.19556899286280729</v>
      </c>
      <c r="D53" s="39">
        <f>IF(C35&gt;0,IFERROR(D51/C39,""),"")</f>
        <v>0.19556899286280729</v>
      </c>
    </row>
    <row r="54" spans="1:6" x14ac:dyDescent="0.25">
      <c r="A54" s="42" t="s">
        <v>18</v>
      </c>
      <c r="B54" s="47" t="str">
        <f>IF(ISNUMBER(B51),IF(D51&gt;B51*(1+Assumptions!$B$24),"OM EXPENSES LIGHT","OM expenses reasonable"),"OM expenses not published")</f>
        <v>OM expenses not published</v>
      </c>
    </row>
    <row r="56" spans="1:6" x14ac:dyDescent="0.25">
      <c r="A56" s="34" t="s">
        <v>338</v>
      </c>
      <c r="B56" s="35"/>
      <c r="C56" s="35"/>
      <c r="D56" s="35"/>
      <c r="E56" s="35"/>
      <c r="F56" s="35"/>
    </row>
    <row r="57" spans="1:6" x14ac:dyDescent="0.25">
      <c r="A57" s="45"/>
      <c r="B57" s="45" t="s">
        <v>305</v>
      </c>
      <c r="C57" s="45" t="s">
        <v>306</v>
      </c>
      <c r="D57" s="45"/>
      <c r="E57" s="45"/>
      <c r="F57" s="45" t="s">
        <v>307</v>
      </c>
    </row>
    <row r="58" spans="1:6" x14ac:dyDescent="0.25">
      <c r="A58" s="42" t="s">
        <v>339</v>
      </c>
      <c r="B58" s="42"/>
      <c r="C58" s="44">
        <f>IF(C35&gt;0,C39-D51,"")</f>
        <v>243453</v>
      </c>
    </row>
    <row r="59" spans="1:6" x14ac:dyDescent="0.25">
      <c r="A59" s="42" t="s">
        <v>340</v>
      </c>
      <c r="B59" s="39" t="str">
        <f>IFERROR(B58/B22,"")</f>
        <v/>
      </c>
      <c r="C59" s="39" t="str">
        <f>IF(C58="","",IFERROR(C58/B22,""))</f>
        <v/>
      </c>
      <c r="F59" s="26" t="s">
        <v>341</v>
      </c>
    </row>
    <row r="60" spans="1:6" x14ac:dyDescent="0.25">
      <c r="A60" t="s">
        <v>342</v>
      </c>
      <c r="B60" s="40" t="str">
        <f>IFERROR(B22/B35,"")</f>
        <v/>
      </c>
      <c r="C60" s="40">
        <f>IF(C35&gt;0,IFERROR(B22/C35,""),"")</f>
        <v>0</v>
      </c>
    </row>
    <row r="61" spans="1:6" x14ac:dyDescent="0.25">
      <c r="A61" t="s">
        <v>343</v>
      </c>
      <c r="B61" s="31">
        <f>IFERROR(B58/B7,"")</f>
        <v>0</v>
      </c>
      <c r="C61" s="31">
        <f>IF(C58="","",IFERROR(C58/B7,""))</f>
        <v>24345.3</v>
      </c>
    </row>
    <row r="63" spans="1:6" x14ac:dyDescent="0.25">
      <c r="A63" s="34" t="s">
        <v>344</v>
      </c>
      <c r="B63" s="35"/>
      <c r="C63" s="35"/>
      <c r="D63" s="35"/>
      <c r="E63" s="35"/>
      <c r="F63" s="35"/>
    </row>
    <row r="64" spans="1:6" x14ac:dyDescent="0.25">
      <c r="A64" t="s">
        <v>345</v>
      </c>
      <c r="B64" s="31">
        <f>IFERROR(B22*Assumptions!$B$20,"")</f>
        <v>0</v>
      </c>
    </row>
    <row r="65" spans="1:2" x14ac:dyDescent="0.25">
      <c r="A65" t="s">
        <v>346</v>
      </c>
      <c r="B65" s="31">
        <f>IF(C58="","",IFERROR(PV(Assumptions!$B$22/12,Assumptions!$B$23*12,-C58/Assumptions!$B$21/12),""))</f>
        <v>2635982.8812253969</v>
      </c>
    </row>
    <row r="66" spans="1:2" x14ac:dyDescent="0.25">
      <c r="A66" s="42" t="s">
        <v>347</v>
      </c>
      <c r="B66" s="31">
        <f>IFERROR(MIN(B64,B65),"")</f>
        <v>0</v>
      </c>
    </row>
    <row r="67" spans="1:2" x14ac:dyDescent="0.25">
      <c r="A67" t="s">
        <v>348</v>
      </c>
      <c r="B67" s="31">
        <f>IFERROR(B22-B66,"")</f>
        <v>0</v>
      </c>
    </row>
    <row r="68" spans="1:2" x14ac:dyDescent="0.25">
      <c r="A68" t="s">
        <v>349</v>
      </c>
      <c r="B68" s="31">
        <f>IFERROR(-PMT(Assumptions!$B$22/12,Assumptions!$B$23*12,B66)*12,"")</f>
        <v>0</v>
      </c>
    </row>
    <row r="69" spans="1:2" x14ac:dyDescent="0.25">
      <c r="A69" t="s">
        <v>350</v>
      </c>
      <c r="B69" s="40" t="str">
        <f>IFERROR(C58/B68,"")</f>
        <v/>
      </c>
    </row>
    <row r="70" spans="1:2" x14ac:dyDescent="0.25">
      <c r="A70" t="s">
        <v>351</v>
      </c>
      <c r="B70" s="31">
        <f>IFERROR(C58-B68,"")</f>
        <v>243453</v>
      </c>
    </row>
    <row r="71" spans="1:2" x14ac:dyDescent="0.25">
      <c r="A71" t="s">
        <v>352</v>
      </c>
      <c r="B71" s="39" t="str">
        <f>IFERROR(B70/B67,"")</f>
        <v/>
      </c>
    </row>
    <row r="73" spans="1:2" x14ac:dyDescent="0.25">
      <c r="A73" s="26" t="s">
        <v>353</v>
      </c>
    </row>
  </sheetData>
  <hyperlinks>
    <hyperlink ref="A3" r:id="rId1" xr:uid="{00000000-0004-0000-2800-000000000000}"/>
  </hyperlinks>
  <pageMargins left="0.75" right="0.75" top="1" bottom="1" header="0.5" footer="0.5"/>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41</vt:i4>
      </vt:variant>
      <vt:variant>
        <vt:lpstr>Named Ranges</vt:lpstr>
      </vt:variant>
      <vt:variant>
        <vt:i4>1</vt:i4>
      </vt:variant>
    </vt:vector>
  </HeadingPairs>
  <TitlesOfParts>
    <vt:vector size="42" baseType="lpstr">
      <vt:lpstr>Master List</vt:lpstr>
      <vt:lpstr>Assumptions</vt:lpstr>
      <vt:lpstr>01 1129 Lincoln Blvd</vt:lpstr>
      <vt:lpstr>02 2001 Penmar Ave</vt:lpstr>
      <vt:lpstr>03 947-953 11th St</vt:lpstr>
      <vt:lpstr>04 1811 Parnell Ave</vt:lpstr>
      <vt:lpstr>05 2619 S Sepulveda Blvd</vt:lpstr>
      <vt:lpstr>06 2015-2021 Chariton St</vt:lpstr>
      <vt:lpstr>07 11825 National Blvd</vt:lpstr>
      <vt:lpstr>08 1811 S Bentley Ave</vt:lpstr>
      <vt:lpstr>09 3602 Keystone Ave</vt:lpstr>
      <vt:lpstr>10 2626 Cloverfield Blvd</vt:lpstr>
      <vt:lpstr>11 440 Raymond Ave</vt:lpstr>
      <vt:lpstr>12 1429 Havenhurst Dr</vt:lpstr>
      <vt:lpstr>13 1524 Granville Ave</vt:lpstr>
      <vt:lpstr>14 1041 S Corning St</vt:lpstr>
      <vt:lpstr>15 20 Brooks Ave</vt:lpstr>
      <vt:lpstr>16 3827 Tilden Ave</vt:lpstr>
      <vt:lpstr>17 900 N Orange Grove Ave</vt:lpstr>
      <vt:lpstr>18 11401 Washington Pl</vt:lpstr>
      <vt:lpstr>19 7526 Fountain Ave</vt:lpstr>
      <vt:lpstr>20 1942 Euclid St</vt:lpstr>
      <vt:lpstr>21 3575-3595 S Sepulveda Blvd</vt:lpstr>
      <vt:lpstr>22 222-228 Idaho Ave</vt:lpstr>
      <vt:lpstr>23 8468 Fountain Ave</vt:lpstr>
      <vt:lpstr>24 1217 9th St</vt:lpstr>
      <vt:lpstr>25 1256 S Westgate Ave</vt:lpstr>
      <vt:lpstr>26 3410 Club Dr</vt:lpstr>
      <vt:lpstr>27 1050 12th St</vt:lpstr>
      <vt:lpstr>28 1307 15th St</vt:lpstr>
      <vt:lpstr>29 3750 Midvale Ave</vt:lpstr>
      <vt:lpstr>30 823 5th St</vt:lpstr>
      <vt:lpstr>31 1269 Havenhurst Dr</vt:lpstr>
      <vt:lpstr>32 1235-1241 S Beverly Glen Blv</vt:lpstr>
      <vt:lpstr>33 120 Westminster Ave</vt:lpstr>
      <vt:lpstr>34 30 Dudley Ave</vt:lpstr>
      <vt:lpstr>35 1814 Federal Ave</vt:lpstr>
      <vt:lpstr>36 Beverly Hills double lot</vt:lpstr>
      <vt:lpstr>37 337 N Palm Dr</vt:lpstr>
      <vt:lpstr>38 7550 Fountain Ave</vt:lpstr>
      <vt:lpstr>39 943 Hancock Ave</vt:lpstr>
      <vt:lpstr>'14 1041 S Corning St'!Print_Area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Niculete, Filip</cp:lastModifiedBy>
  <dcterms:created xsi:type="dcterms:W3CDTF">2026-09-17T19:43:52Z</dcterms:created>
  <dcterms:modified xsi:type="dcterms:W3CDTF">2026-09-17T20:40:17Z</dcterms:modified>
</cp:coreProperties>
</file>